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4240" windowHeight="13140"/>
  </bookViews>
  <sheets>
    <sheet name="ORÇAMENTO" sheetId="1" r:id="rId1"/>
    <sheet name="CFF" sheetId="3" r:id="rId2"/>
    <sheet name="MEMÓRIA DE CÁLCULO" sheetId="5" r:id="rId3"/>
    <sheet name="ENC. SOCIAIS" sheetId="4" r:id="rId4"/>
    <sheet name="BDI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3" i="5" l="1"/>
  <c r="F18" i="1"/>
  <c r="C50" i="5"/>
  <c r="I103" i="1"/>
  <c r="I102" i="1"/>
  <c r="H102" i="1"/>
  <c r="F40" i="1"/>
  <c r="B220" i="5"/>
  <c r="C209" i="5"/>
  <c r="C201" i="5"/>
  <c r="C190" i="5"/>
  <c r="C183" i="5"/>
  <c r="C167" i="5"/>
  <c r="C154" i="5"/>
  <c r="C147" i="5"/>
  <c r="F30" i="1"/>
  <c r="C137" i="5"/>
  <c r="F29" i="1"/>
  <c r="C123" i="5"/>
  <c r="F28" i="1"/>
  <c r="F27" i="1"/>
  <c r="F26" i="1"/>
  <c r="C106" i="5"/>
  <c r="F78" i="1"/>
  <c r="F41" i="1"/>
  <c r="F35" i="1"/>
  <c r="F39" i="1"/>
  <c r="F37" i="1"/>
  <c r="F38" i="1"/>
  <c r="F36" i="1"/>
  <c r="F34" i="1"/>
  <c r="F31" i="1"/>
  <c r="C676" i="5"/>
  <c r="F134" i="1"/>
  <c r="C271" i="5"/>
  <c r="C227" i="5"/>
  <c r="C174" i="5"/>
  <c r="C113" i="5"/>
  <c r="C95" i="5"/>
  <c r="C86" i="5"/>
  <c r="C77" i="5"/>
  <c r="C68" i="5"/>
  <c r="C59" i="5"/>
  <c r="F20" i="1"/>
  <c r="F21" i="1"/>
  <c r="F22" i="1"/>
  <c r="F23" i="1"/>
  <c r="F19" i="1"/>
  <c r="F52" i="1"/>
  <c r="F13" i="1" l="1"/>
  <c r="F8" i="1"/>
  <c r="F9" i="1"/>
  <c r="H4" i="1"/>
  <c r="C15" i="2"/>
  <c r="F15" i="1"/>
  <c r="F14" i="1"/>
  <c r="C668" i="5"/>
  <c r="F131" i="1" s="1"/>
  <c r="C658" i="5"/>
  <c r="F127" i="1" s="1"/>
  <c r="C636" i="5"/>
  <c r="F126" i="1" s="1"/>
  <c r="C614" i="5"/>
  <c r="F125" i="1" s="1"/>
  <c r="C592" i="5"/>
  <c r="F124" i="1" s="1"/>
  <c r="C551" i="5"/>
  <c r="F118" i="1" s="1"/>
  <c r="C569" i="5"/>
  <c r="F121" i="1" s="1"/>
  <c r="C538" i="5"/>
  <c r="F117" i="1" s="1"/>
  <c r="C523" i="5"/>
  <c r="F116" i="1" s="1"/>
  <c r="C507" i="5"/>
  <c r="F113" i="1" s="1"/>
  <c r="C495" i="5"/>
  <c r="F112" i="1" s="1"/>
  <c r="C482" i="5"/>
  <c r="F111" i="1" s="1"/>
  <c r="C468" i="5"/>
  <c r="F108" i="1" s="1"/>
  <c r="C459" i="5"/>
  <c r="F107" i="1" s="1"/>
  <c r="C444" i="5"/>
  <c r="F106" i="1" s="1"/>
  <c r="C292" i="5"/>
  <c r="F56" i="1" s="1"/>
  <c r="H100" i="1" l="1"/>
  <c r="H101" i="1"/>
  <c r="I101" i="1" s="1"/>
  <c r="H37" i="1"/>
  <c r="I37" i="1" s="1"/>
  <c r="H77" i="1"/>
  <c r="I77" i="1" s="1"/>
  <c r="H56" i="1"/>
  <c r="H36" i="1"/>
  <c r="I36" i="1" s="1"/>
  <c r="H35" i="1"/>
  <c r="H31" i="1"/>
  <c r="I31" i="1" s="1"/>
  <c r="H30" i="1"/>
  <c r="H64" i="1"/>
  <c r="I64" i="1" s="1"/>
  <c r="H63" i="1"/>
  <c r="I63" i="1" s="1"/>
  <c r="H52" i="1"/>
  <c r="I52" i="1" s="1"/>
  <c r="H134" i="1"/>
  <c r="I134" i="1" s="1"/>
  <c r="I135" i="1" s="1"/>
  <c r="C67" i="3" s="1"/>
  <c r="I68" i="3" s="1"/>
  <c r="H13" i="1"/>
  <c r="I13" i="1" s="1"/>
  <c r="H22" i="1"/>
  <c r="I22" i="1" s="1"/>
  <c r="H20" i="1"/>
  <c r="I20" i="1" s="1"/>
  <c r="H21" i="1"/>
  <c r="I21" i="1" s="1"/>
  <c r="H18" i="1"/>
  <c r="I18" i="1" s="1"/>
  <c r="H19" i="1"/>
  <c r="I19" i="1" s="1"/>
  <c r="H23" i="1"/>
  <c r="I23" i="1" s="1"/>
  <c r="H9" i="1"/>
  <c r="I9" i="1" s="1"/>
  <c r="H12" i="1"/>
  <c r="H15" i="1"/>
  <c r="I15" i="1" s="1"/>
  <c r="H14" i="1"/>
  <c r="I14" i="1" s="1"/>
  <c r="H8" i="1"/>
  <c r="I8" i="1" s="1"/>
  <c r="C282" i="5"/>
  <c r="F55" i="1" s="1"/>
  <c r="F44" i="1"/>
  <c r="C33" i="5"/>
  <c r="C22" i="5"/>
  <c r="C14" i="5"/>
  <c r="C7" i="5"/>
  <c r="I24" i="1" l="1"/>
  <c r="C17" i="3" s="1"/>
  <c r="E18" i="3" s="1"/>
  <c r="E17" i="3" s="1"/>
  <c r="I10" i="1"/>
  <c r="C7" i="3" s="1"/>
  <c r="H8" i="3" l="1"/>
  <c r="H7" i="3" s="1"/>
  <c r="I8" i="3"/>
  <c r="I7" i="3" s="1"/>
  <c r="F8" i="3"/>
  <c r="F7" i="3" s="1"/>
  <c r="E8" i="3"/>
  <c r="E7" i="3" s="1"/>
  <c r="G8" i="3"/>
  <c r="G7" i="3" s="1"/>
  <c r="H131" i="1"/>
  <c r="I131" i="1" s="1"/>
  <c r="I132" i="1" s="1"/>
  <c r="C62" i="3" s="1"/>
  <c r="H127" i="1"/>
  <c r="I127" i="1" s="1"/>
  <c r="H126" i="1"/>
  <c r="I126" i="1" s="1"/>
  <c r="H125" i="1"/>
  <c r="I125" i="1" s="1"/>
  <c r="H124" i="1"/>
  <c r="I124" i="1" s="1"/>
  <c r="H121" i="1"/>
  <c r="I121" i="1" s="1"/>
  <c r="I122" i="1" s="1"/>
  <c r="H118" i="1"/>
  <c r="I118" i="1" s="1"/>
  <c r="H117" i="1"/>
  <c r="I117" i="1" s="1"/>
  <c r="H116" i="1"/>
  <c r="I116" i="1" s="1"/>
  <c r="H112" i="1"/>
  <c r="I112" i="1" s="1"/>
  <c r="H111" i="1"/>
  <c r="I111" i="1" s="1"/>
  <c r="H107" i="1"/>
  <c r="I107" i="1" s="1"/>
  <c r="H106" i="1"/>
  <c r="I106" i="1" s="1"/>
  <c r="I100" i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5" i="1"/>
  <c r="I85" i="1" s="1"/>
  <c r="H84" i="1"/>
  <c r="I84" i="1" s="1"/>
  <c r="H83" i="1"/>
  <c r="I83" i="1" s="1"/>
  <c r="H82" i="1"/>
  <c r="I82" i="1" s="1"/>
  <c r="H81" i="1"/>
  <c r="I81" i="1" s="1"/>
  <c r="H78" i="1"/>
  <c r="I78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2" i="1"/>
  <c r="I62" i="1" s="1"/>
  <c r="H61" i="1"/>
  <c r="I61" i="1" s="1"/>
  <c r="H60" i="1"/>
  <c r="I60" i="1" s="1"/>
  <c r="I56" i="1"/>
  <c r="H55" i="1"/>
  <c r="I55" i="1" s="1"/>
  <c r="H51" i="1"/>
  <c r="I51" i="1" s="1"/>
  <c r="H50" i="1"/>
  <c r="I50" i="1" s="1"/>
  <c r="H49" i="1"/>
  <c r="I49" i="1" s="1"/>
  <c r="H48" i="1"/>
  <c r="I48" i="1" s="1"/>
  <c r="H47" i="1"/>
  <c r="I47" i="1" s="1"/>
  <c r="H44" i="1"/>
  <c r="I44" i="1" s="1"/>
  <c r="I45" i="1" s="1"/>
  <c r="C32" i="3" s="1"/>
  <c r="H41" i="1"/>
  <c r="I41" i="1" s="1"/>
  <c r="H40" i="1"/>
  <c r="I40" i="1" s="1"/>
  <c r="H39" i="1"/>
  <c r="I39" i="1" s="1"/>
  <c r="H38" i="1"/>
  <c r="I38" i="1" s="1"/>
  <c r="I35" i="1"/>
  <c r="H34" i="1"/>
  <c r="I34" i="1" s="1"/>
  <c r="I30" i="1"/>
  <c r="H29" i="1"/>
  <c r="I29" i="1" s="1"/>
  <c r="H28" i="1"/>
  <c r="I28" i="1" s="1"/>
  <c r="H27" i="1"/>
  <c r="I27" i="1" s="1"/>
  <c r="H26" i="1"/>
  <c r="I26" i="1" s="1"/>
  <c r="H108" i="1"/>
  <c r="I108" i="1" s="1"/>
  <c r="H113" i="1"/>
  <c r="I113" i="1" s="1"/>
  <c r="I32" i="1" l="1"/>
  <c r="C22" i="3" s="1"/>
  <c r="I65" i="1"/>
  <c r="I79" i="1"/>
  <c r="I109" i="1"/>
  <c r="I119" i="1"/>
  <c r="I114" i="1"/>
  <c r="I75" i="1"/>
  <c r="I86" i="1"/>
  <c r="I53" i="1"/>
  <c r="I63" i="3"/>
  <c r="I42" i="1"/>
  <c r="C27" i="3" s="1"/>
  <c r="C52" i="3"/>
  <c r="I128" i="1"/>
  <c r="I57" i="1"/>
  <c r="C42" i="3" s="1"/>
  <c r="I12" i="1"/>
  <c r="I16" i="1" s="1"/>
  <c r="C12" i="3" s="1"/>
  <c r="I87" i="1" l="1"/>
  <c r="C47" i="3" s="1"/>
  <c r="F53" i="3"/>
  <c r="H53" i="3"/>
  <c r="H52" i="3" s="1"/>
  <c r="G53" i="3"/>
  <c r="G52" i="3" s="1"/>
  <c r="I129" i="1"/>
  <c r="C57" i="3" s="1"/>
  <c r="H33" i="3"/>
  <c r="C37" i="3"/>
  <c r="H28" i="3"/>
  <c r="H27" i="3" s="1"/>
  <c r="G28" i="3"/>
  <c r="G27" i="3" s="1"/>
  <c r="F28" i="3"/>
  <c r="F27" i="3" s="1"/>
  <c r="E23" i="3"/>
  <c r="F23" i="3"/>
  <c r="F43" i="3"/>
  <c r="G43" i="3"/>
  <c r="G33" i="3"/>
  <c r="E13" i="3"/>
  <c r="I136" i="1" l="1"/>
  <c r="J102" i="1" s="1"/>
  <c r="I38" i="3"/>
  <c r="I37" i="3" s="1"/>
  <c r="H38" i="3"/>
  <c r="H37" i="3" s="1"/>
  <c r="E48" i="3"/>
  <c r="F48" i="3"/>
  <c r="F47" i="3" s="1"/>
  <c r="F52" i="3"/>
  <c r="H58" i="3"/>
  <c r="I58" i="3"/>
  <c r="G58" i="3"/>
  <c r="J101" i="1" l="1"/>
  <c r="J100" i="1"/>
  <c r="J77" i="1"/>
  <c r="J78" i="1"/>
  <c r="J56" i="1"/>
  <c r="J36" i="1"/>
  <c r="J37" i="1"/>
  <c r="J134" i="1"/>
  <c r="J135" i="1" s="1"/>
  <c r="J31" i="1"/>
  <c r="C74" i="3"/>
  <c r="J63" i="1"/>
  <c r="J64" i="1"/>
  <c r="E71" i="3"/>
  <c r="E47" i="3"/>
  <c r="F71" i="3"/>
  <c r="I71" i="3"/>
  <c r="I57" i="3"/>
  <c r="H71" i="3"/>
  <c r="H57" i="3"/>
  <c r="G57" i="3"/>
  <c r="G71" i="3"/>
  <c r="J26" i="1"/>
  <c r="J18" i="1"/>
  <c r="J39" i="1"/>
  <c r="J35" i="1"/>
  <c r="J27" i="1"/>
  <c r="J29" i="1"/>
  <c r="J28" i="1"/>
  <c r="J38" i="1"/>
  <c r="J41" i="1"/>
  <c r="J30" i="1"/>
  <c r="J23" i="1"/>
  <c r="J34" i="1"/>
  <c r="J40" i="1"/>
  <c r="J21" i="1"/>
  <c r="J20" i="1"/>
  <c r="J19" i="1"/>
  <c r="J22" i="1"/>
  <c r="J97" i="1"/>
  <c r="J52" i="1"/>
  <c r="J126" i="1"/>
  <c r="J74" i="1"/>
  <c r="J8" i="1"/>
  <c r="J98" i="1"/>
  <c r="J89" i="1"/>
  <c r="J55" i="1"/>
  <c r="J124" i="1"/>
  <c r="J92" i="1"/>
  <c r="J49" i="1"/>
  <c r="J15" i="1"/>
  <c r="J14" i="1"/>
  <c r="J112" i="1"/>
  <c r="J118" i="1"/>
  <c r="J107" i="1"/>
  <c r="J68" i="1"/>
  <c r="J71" i="1"/>
  <c r="J60" i="1"/>
  <c r="J62" i="1"/>
  <c r="J90" i="1"/>
  <c r="J44" i="1"/>
  <c r="J45" i="1" s="1"/>
  <c r="J106" i="1"/>
  <c r="J95" i="1"/>
  <c r="J50" i="1"/>
  <c r="J111" i="1"/>
  <c r="J108" i="1"/>
  <c r="J47" i="1"/>
  <c r="J85" i="1"/>
  <c r="J72" i="1"/>
  <c r="J69" i="1"/>
  <c r="J121" i="1"/>
  <c r="J122" i="1" s="1"/>
  <c r="J117" i="1"/>
  <c r="J131" i="1"/>
  <c r="J132" i="1" s="1"/>
  <c r="J116" i="1"/>
  <c r="J113" i="1"/>
  <c r="J12" i="1"/>
  <c r="J82" i="1"/>
  <c r="J51" i="1"/>
  <c r="J83" i="1"/>
  <c r="J91" i="1"/>
  <c r="J70" i="1"/>
  <c r="J48" i="1"/>
  <c r="J84" i="1"/>
  <c r="J61" i="1"/>
  <c r="J13" i="1"/>
  <c r="J9" i="1"/>
  <c r="J127" i="1"/>
  <c r="J125" i="1"/>
  <c r="J96" i="1"/>
  <c r="J67" i="1"/>
  <c r="J99" i="1"/>
  <c r="J81" i="1"/>
  <c r="J93" i="1"/>
  <c r="J94" i="1"/>
  <c r="J73" i="1"/>
  <c r="J103" i="1" l="1"/>
  <c r="H70" i="3"/>
  <c r="F70" i="3"/>
  <c r="G70" i="3"/>
  <c r="I70" i="3"/>
  <c r="J32" i="1"/>
  <c r="D67" i="3"/>
  <c r="E70" i="3"/>
  <c r="D27" i="3"/>
  <c r="D42" i="3"/>
  <c r="D32" i="3"/>
  <c r="D57" i="3"/>
  <c r="D62" i="3"/>
  <c r="J65" i="1"/>
  <c r="D17" i="3"/>
  <c r="D52" i="3"/>
  <c r="D22" i="3"/>
  <c r="D7" i="3"/>
  <c r="D12" i="3"/>
  <c r="D37" i="3"/>
  <c r="D47" i="3"/>
  <c r="F73" i="3"/>
  <c r="F72" i="3" s="1"/>
  <c r="E73" i="3"/>
  <c r="E72" i="3" s="1"/>
  <c r="I73" i="3"/>
  <c r="I72" i="3" s="1"/>
  <c r="H73" i="3"/>
  <c r="H72" i="3" s="1"/>
  <c r="G73" i="3"/>
  <c r="G72" i="3" s="1"/>
  <c r="J42" i="1"/>
  <c r="J24" i="1"/>
  <c r="J57" i="1"/>
  <c r="J109" i="1"/>
  <c r="J53" i="1"/>
  <c r="J128" i="1"/>
  <c r="J119" i="1"/>
  <c r="J10" i="1"/>
  <c r="J114" i="1"/>
  <c r="J86" i="1"/>
  <c r="J79" i="1"/>
  <c r="J75" i="1"/>
  <c r="J16" i="1"/>
  <c r="J129" i="1" l="1"/>
  <c r="J87" i="1"/>
  <c r="J136" i="1" l="1"/>
</calcChain>
</file>

<file path=xl/sharedStrings.xml><?xml version="1.0" encoding="utf-8"?>
<sst xmlns="http://schemas.openxmlformats.org/spreadsheetml/2006/main" count="1588" uniqueCount="332">
  <si>
    <t>Prefeitura Municipal de Primavera - PA</t>
  </si>
  <si>
    <t>Leis Sociais (%)</t>
  </si>
  <si>
    <t>Planilha orçamentaria desonerada</t>
  </si>
  <si>
    <t>Item</t>
  </si>
  <si>
    <t>Cód.</t>
  </si>
  <si>
    <t>Fonte</t>
  </si>
  <si>
    <t xml:space="preserve">Unid. </t>
  </si>
  <si>
    <t xml:space="preserve">Quant. </t>
  </si>
  <si>
    <t>Preço Unit. (R$) C/BDI</t>
  </si>
  <si>
    <t>Custo Unit. (R$) S/BDI</t>
  </si>
  <si>
    <t>Preço Total (R$)</t>
  </si>
  <si>
    <t>Peso</t>
  </si>
  <si>
    <t>1.1</t>
  </si>
  <si>
    <t>1.2</t>
  </si>
  <si>
    <t>2.1</t>
  </si>
  <si>
    <t>PLACA DE OBRA (PARA CONSTRUCAO CIVIL) EM CHAPA GALVANIZADA *N. 22*, ADESIVADA.</t>
  </si>
  <si>
    <t>MONTAGEM E DESMONTAGEM DE ANDAIME TUBULAR TIPO TORRE (EXCLUSIVE ANDAIME M E LIMPEZA). AF_11/2017</t>
  </si>
  <si>
    <t>FUNDAÇÃO - ESTRUTURA</t>
  </si>
  <si>
    <t>SERVIÇOS PRELIMINARES</t>
  </si>
  <si>
    <t>2.2</t>
  </si>
  <si>
    <t>3.1</t>
  </si>
  <si>
    <t>3.2</t>
  </si>
  <si>
    <t>FABRICAÇÃO, MONTAGEM E DESMONTAGEM DE FÔRMA PARA BLOCO DE COROAMENTO, EM MADEIRA SERRADA, E=25 MM, 4 UTILIZAÇÕES. AF_06/2017</t>
  </si>
  <si>
    <t>CONCRETO FCK = 20MPA, TRAÇO 1:2,7:3 (EM MASSA SECA DE CIMENTO/ AREIA MÉDIA  / BRITA 1) - PREPARO MECÂNICO COM BETONEIRA 400 L. AF_05/2021</t>
  </si>
  <si>
    <t>CONCRETO MAGRO PARA LASTRO, TRAÇO 1:4,5:4,5 (EM MASSA SECA DE CIMENTO/ ARE M3 IA MÉDIA/ BRITA 1) - PREPARO MANUAL. AF_05/2021</t>
  </si>
  <si>
    <t>ALVENÁRIA</t>
  </si>
  <si>
    <t>ESQUADRIAS</t>
  </si>
  <si>
    <t>COBERTURA</t>
  </si>
  <si>
    <t>INSTALAÇÕES HIDRÁULICAS</t>
  </si>
  <si>
    <t>Água fria</t>
  </si>
  <si>
    <t>Esgoto</t>
  </si>
  <si>
    <t>Metais e acessorios hidráulicos</t>
  </si>
  <si>
    <t>INSTALAÇÕES ELÉTRICAS</t>
  </si>
  <si>
    <t>REVESTIMENTO</t>
  </si>
  <si>
    <t xml:space="preserve">Paredes internas </t>
  </si>
  <si>
    <t>Pisos</t>
  </si>
  <si>
    <t>Paredes externas</t>
  </si>
  <si>
    <t>3.3</t>
  </si>
  <si>
    <t>3.4</t>
  </si>
  <si>
    <t>3.5</t>
  </si>
  <si>
    <t>3.6</t>
  </si>
  <si>
    <t>4.1</t>
  </si>
  <si>
    <t>5.1</t>
  </si>
  <si>
    <t>FABRICAÇÃO DE FÔRMA PARA PILARES E ESTRUTURAS SIMILARES, EM CHAPA DE MADEIRA COMPENSADA RESINADA, E = 17 MM. AF_09/2020</t>
  </si>
  <si>
    <t>SINAP</t>
  </si>
  <si>
    <t>FABRICAÇÃO DE FÔRMA PARA VIGAS, EM CHAPA DE MADEIRA COMPENSADA RESINADA, E = 17 MM. AF_09/2020</t>
  </si>
  <si>
    <t>CONCRETAGEM DE PILARES, FCK = 25 MPA, COM USO DE BOMBA EM EDIFICAÇÃO COM SEÇÃO MÉDIA DE PILARES MENOR OU IGUAL A 0,25 M² - LANÇAMENTO, ADENSAMENTO E ACABAMENTO. AF_12/2015</t>
  </si>
  <si>
    <t>CONCRETAGEM DE VIGAS E LAJES, FCK=20 MPA, PARA LAJES PREMOLDADAS COM USO DE BOMBA EM EDIFICAÇÃO COM ÁREA MÉDIA DE LAJES MAIOR QUE 20 M² - LANÇAMENTO, ADENSAMENTO E ACABAMENTO. AF_12/2015</t>
  </si>
  <si>
    <t>ARMAÇÃO DE PILAR OU VIGA DE UMA ESTRUTURA CONVENCIONAL DE CONCRETO ARMADO EM UMA EDIFICAÇÃO TÉRREA OU SOBRADO UTILIZANDO AÇO CA-50 DE 10,0 MM - MONTAGEM. AF_12/2015</t>
  </si>
  <si>
    <t>ARMAÇÃO DE PILAR OU VIGA DE UMA ESTRUTURA CONVENCIONAL DE CONCRETO ARMADO EM UMA EDIFICAÇÃO TÉRREA OU SOBRADO UTILIZANDO AÇO CA-60 DE 5,0 MM - MONTAGEM. AF_12/2015</t>
  </si>
  <si>
    <t>ALVENARIA DE VEDAÇÃO DE BLOCOS CERÂMICOS FURADOS NA HORIZONTAL DE 9X19X19C M (ESPESSURA 9CM) DE PAREDES COM ÁREA LÍQUIDA MAIOR OU IGUAL A 6M² SEM VÃOS E ARGAMASSA DE ASSENTAMENTO COM PREPARO EM BETONEIRA. AF_06/2014</t>
  </si>
  <si>
    <t>KIT DE PORTA DE MADEIRA PARA PINTURA, SEMI-OCA (LEVE OU MÉDIA), PADRÃO POP UNULAR, 80X210CM, ESPESSURA DE 3,5CM, ITENS INCLUSOS: DOBRADIÇAS, MONTAGEM E INSTALAÇÃO DO BATENTE, FECHADURA COM EXECUÇÃO DO FURO - FORNECIMENTO E INSTALAÇÃO. AF_12/2019</t>
  </si>
  <si>
    <t>JANELA DE AÇO TIPO BASCULANTE PARA VIDROS, COM BATENTE, FERRAGENS E PINTUR A ANTICORROSIVA. EXCLUSIVE VIDROS, ACABAMENTO, ALIZAR E CONTRAMARCO. FORNECIMENTO E INSTALAÇÃO. AF_12/2019</t>
  </si>
  <si>
    <t>JANELA DE ALUMÍNIO DE CORRER COM 3 FOLHAS (2 VENEZIANAS E 1 PARA VIDRO), COM VIDROS, BATENTE E FERRAGENS. EXCLUSIVE ACABAMENTO, ALIZAR E CONTRAMARCO. FORNECIMENTO E INSTALAÇÃO. AF_12/2019</t>
  </si>
  <si>
    <t>JANELA DE ALUMÍNIO DE CORRER COM 4 FOLHAS PARA VIDROS, COM VIDROS, BATENTE, ACABAMENTO COM ACETATO OU BRILHANTE E FERRAGENS. EXCLUSIVE ALIZAR E CONTRAMARCO. FORNECIMENTO E INSTALAÇÃO. AF_12/2019</t>
  </si>
  <si>
    <t>JANELA FIXA DE ALUMÍNIO PARA VIDRO, COM VIDRO, BATENTE E FERRAGENS. EXCLUSIVE ACABAMENTO, ALIZAR E CONTRAMARCO. FORNECIMENTO E INSTALAÇÃO. AF_12/2019</t>
  </si>
  <si>
    <t>TRAMA DE MADEIRA COMPOSTA POR RIPAS, CAIBROS E TERÇAS PARA TELHADOS DE ATÉ 2 ÁGUAS PARA TELHA CERÂMICA CAPA-CANAL, INCLUSO TRANSPORTE VERTICAL. AF07/2019</t>
  </si>
  <si>
    <t>TELHAMENTO COM TELHA CERÂMICA DE ENCAIXE, TIPO FRANCESA, COM ATÉ 2 ÁGUAS, INCLUSO TRANSPORTE VERTICAL. AF_07/2019</t>
  </si>
  <si>
    <t>TUBO, PVC, SOLDÁVEL, DN 25 MM, INSTALADO EM RESERVAÇÃO DE ÁGUA DE EDIFICAÇÃO QUE POSSUA RESERVATÓRIO DE FIBRA/FIBROCIMENTO FORNECIMENTO E INSTALAÇÃO. AF_06/2016</t>
  </si>
  <si>
    <t>REGISTRO DE GAVETA BRUTO, LATÃO, ROSCÁVEL, 1", COM ACABAMENTO E CANOPLA CROMADOS - FORNECIMENTO E INSTALAÇÃO. AF_08/2021</t>
  </si>
  <si>
    <t>TUBO, PVC, SOLDÁVEL, DN 40 MM, INSTALADO EM RESERVAÇÃO DE ÁGUA DE EDIFICAÇÃO QUE POSSUA RESERVATÓRIO DE FIBRA/FIBROCIMENTO FORNECIMENTO E INSTALAÇÃO. AF_06/2016</t>
  </si>
  <si>
    <t>TUBO, PVC, SOLDÁVEL, DN 50 MM, INSTALADO EM RESERVAÇÃO DE ÁGUA DE EDIFICAÇ ÃO QUE POSSUA RESERVATÓRIO DE FIBRA/FIBROCIMENTO FORNECIMENTO E INSTALAÇÃO. AF_06/2016</t>
  </si>
  <si>
    <t>TUBO, PVC, SOLDÁVEL, DN 75 MM, INSTALADO EM RESERVAÇÃO DE ÁGUA DE EDIFICAÇÃO QUE POSSUA RESERVATÓRIO DE FIBRA/FIBROCIMENTO FORNECIMENTO E INSTALAÇÃO. AF_06/2016</t>
  </si>
  <si>
    <t>CAIXA DE GORDURA DUPLA (CAPACIDADE: 126 L), RETANGULAR, EM ALVENARIA COM TIJOLOS CERÂMICOS MACIÇOS, DIMENSÕES INTERNAS = 0,4X0,7 M, ALTURA INTERNA = 0,8 M. AF_12/2020</t>
  </si>
  <si>
    <t>CAIXA DE INSPECAO PARA ATERRAMENTO E PARA RAIOS, EM POLIPROPILENO, DIAMETRO = 300 MM X ALTURA = 400 MM</t>
  </si>
  <si>
    <t>CAIXA SIFONADA, PVC, DN 100 X 100 X 50 MM, JUNTA ELÁSTICA, FORNECIDA E INSTALADA EM RAMAL DE DESCARGA OU EM RAMAL DE ESGOTO SANITÁRIO. AF_12/2014</t>
  </si>
  <si>
    <t>RALO SIFONADO, PVC, DN 100 X 40 MM, JUNTA SOLDÁVEL, FORNECIDO E INSTALADO EM RAMAL DE DESCARGA OU EM RAMAL DE ESGOTO SANITÁRIO. AF_12/2014</t>
  </si>
  <si>
    <t>Pluvial</t>
  </si>
  <si>
    <t>CALHA EM CHAPA DE AÇO GALVANIZADO NÚMERO 24, DESENVOLVIMENTO DE 33 CM, INCLUSO TRANSPORTE VERTICAL. AF_07/2019</t>
  </si>
  <si>
    <t>VASO SANITÁRIO SIFONADO COM CAIXA ACOPLADA LOUÇA BRANCA, INCLUSO ENGATE FLEXÍVEL EM PLÁSTICO BRANCO, 1/2 X 40CM - FORNECIMENTO E INSTALAÇÃO. AF_01/2020</t>
  </si>
  <si>
    <t>LAVATÓRIO LOUÇA BRANCA COM COLUNA, 45 X 55CM OU EQUIVALENTE, PADRÃO MÉDIO, INCLUSO SIFÃO TIPO GARRAFA, VÁLVULA E ENGATE FLEXÍVEL DE 40CM EM METAL CROMADO, COM TORNEIRA CROMADA DE MESA, PADRÃO MÉDIO - FORNECIMENTO E INSTALAÇÃO. AF_01/2020</t>
  </si>
  <si>
    <t>SABONETEIRA DE PAREDE EM METAL CROMADO, INCLUSO FIXAÇÃO. AF_01/2020</t>
  </si>
  <si>
    <t>PAPELEIRA DE PAREDE EM METAL CROMADO SEM TAMPA, INCLUSO FIXAÇÃO. AF_01/2020</t>
  </si>
  <si>
    <t>TORNEIRA CROMADA DE MESA, 1/2 OU 3/4, PARA LAVATÓRIO, PADRÃO MÉDIO - FORNECIMENTO E INSTALAÇÃO. AF_01/2020</t>
  </si>
  <si>
    <t>QUADRO DE DISTRIBUIÇÃO DE ENERGIA EM CHAPA DE AÇO GALVANIZADO, DE EMBUTIR, COM BARRAMENTO TRIFÁSICO, PARA 12 DISJUNTORES DIN 100A - FORNECIMENTO E INSTALAÇÃO. AF_10/2020</t>
  </si>
  <si>
    <t>INTERRUPTOR SIMPLES (1 MÓDULO), 10A/250V, INCLUINDO SUPORTE E PLACA - FORNECIMENTO E INSTALAÇÃO. AF_12/2015</t>
  </si>
  <si>
    <t>LUMINÁRIA TIPO SPOT, DE SOBREPOR, COM 1 LÂMPADA FLUORESCENTE DE 15 W, SEM REATOR - FORNECIMENTO E INSTALAÇÃO. AF_02/2020</t>
  </si>
  <si>
    <t>LUMINÁRIA TIPO CALHA, DE SOBREPOR, COM 2 LÂMPADAS TUBULARES FLUORESCENTES DE 36 W, COM REATOR DE PARTIDA RÁPIDA - FORNECIMENTO E INSTALAÇÃO. AF_02/2020</t>
  </si>
  <si>
    <t>PONTO DE TOMADA RESIDENCIAL INCLUINDO TOMADA 10A/250V, CAIXA ELÉTRICA, ELETRODUTO, CABO, RASGO, QUEBRA E CHUMBAMENTO. AF_01/2016</t>
  </si>
  <si>
    <t>PONTO DE TOMADA RESIDENCIAL INCLUINDO TOMADA 20A/250V, CAIXA ELÉTRICA, ELETRODUTO, CABO, RASGO, QUEBRA E CHUMBAMENTO. AF_01/2016</t>
  </si>
  <si>
    <t>ELETRODUTO FLEXÍVEL CORRUGADO, PVC, DN 25 MM (3/4"), PARA CIRCUITOS TERMINAIS, INSTALADO EM LAJE - FORNECIMENTO E INSTALAÇÃO. AF_12/2015</t>
  </si>
  <si>
    <t>ELETRODUTO FLEXÍVEL CORRUGADO, PVC, DN 32 MM (1"), PARA CIRCUITOS TERMINAIS, INSTALADO EM LAJE - FORNECIMENTO E INSTALAÇÃO. AF_12/2015</t>
  </si>
  <si>
    <t>CABO DE COBRE FLEXÍVEL ISOLADO, 2,5 MM², ANTI-CHAMA 450/750 V, PARA CIRCUITOS TERMINAIS - FORNECIMENTO E INSTALAÇÃO. AF_12/2015</t>
  </si>
  <si>
    <t>CABO DE COBRE FLEXÍVEL ISOLADO, 10 MM², ANTI-CHAMA 450/750 V, PARA CIRCUITOS TERMINAIS - FORNECIMENTO E INSTALAÇÃO. AF_12/2015</t>
  </si>
  <si>
    <t>ESCAVAÇÃO MANUAL PARA BLOCO DE COROAMENTO OU SAPATA (INCLUINDO ESCAVAÇÃO PARA COLOCAÇÃO DE FÔRMAS). AF_06/2017</t>
  </si>
  <si>
    <t>ESCAVAÇÃO MANUAL DE VALA PARA VIGA BALDRAME (INCLUINDO ESCAVAÇÃO PARA COLOCAÇÃO DE FÔRMAS). AF_06/2017</t>
  </si>
  <si>
    <t>INTERRUPTOR SIMPLES (4 MÓDULOS), 10A/250V, INCLUINDO SUPORTE E PLACA - FORNECIMENTO E INSTALAÇÃO. AF_12/2015</t>
  </si>
  <si>
    <t>CHAPISCO APLICADO EM ALVENARIAS E ESTRUTURAS DE CONCRETO INTERNAS, COM COLHER DE PEDREIRO. ARGAMASSA TRAÇO 1:3 COM PREPARO EM BETONEIRA 400L. AF_06/2014</t>
  </si>
  <si>
    <t>MASSA ÚNICA, PARA RECEBIMENTO DE PINTURA, EM ARGAMASSA TRAÇO 1:2:8, PREPARO MECÂNICO COM BETONEIRA 400L, APLICADA MANUALMENTE EM FACES INTERNAS DE PAREDES, ESPESSURA DE 10MM, COM EXECUÇÃO DE TALISCAS. AF_06/2014</t>
  </si>
  <si>
    <t>REVESTIMENTO CERÂMICO PARA PAREDES INTERNAS COM PLACAS TIPO ESMALTADA EXTRA DE DIMENSÕES 20X20 CM APLICADAS EM AMBIENTES DE ÁREA MAIOR QUE 5 M² NA ALTURA INTEIRA DAS PAREDES. AF_06/2014</t>
  </si>
  <si>
    <t>CONTRAPISO EM ARGAMASSA TRAÇO 1:4 (CIMENTO E AREIA), PREPARO MECÂNICO COM BETONEIRA 400 L, APLICADO EM ÁREAS SECAS SOBRE LAJE, ADERIDO, ACABAMENTO NÃO REFORÇADO, ESPESSURA 3CM. AF_07/2021</t>
  </si>
  <si>
    <t>REVESTIMENTO CERÂMICO PARA PISO COM PLACAS TIPO ESMALTADA EXTRA DE DIMENSÕES 35X35 CM APLICADA EM AMBIENTES DE ÁREA ENTRE 5 M2 E 10 M2. AF_06/2014</t>
  </si>
  <si>
    <t>RODAPÉ CERÂMICO DE 7CM DE ALTURA COM PLACAS TIPO ESMALTADA EXTRA DE DIMENSÕES 35X35CM. AF_06/2014</t>
  </si>
  <si>
    <t>Forro</t>
  </si>
  <si>
    <t>APLICAÇÃO DE FUNDO SELADOR LÁTEX PVA EM PAREDES, UMA DEMÃO. AF_06/2014</t>
  </si>
  <si>
    <t>APLICAÇÃO E LIXAMENTO DE MASSA LÁTEX EM PAREDES, DUAS DEMÃOS. AF_06/2014</t>
  </si>
  <si>
    <t>APLICAÇÃO MANUAL DE PINTURA COM TINTA LÁTEX ACRÍLICA EM PAREDES, DUAS DEMÃOS. AF_06/2014</t>
  </si>
  <si>
    <t>APLICAÇÃO DE FUNDO SELADOR ACRÍLICO EM PAREDES, UMA DEMÃO. AF_06/2014</t>
  </si>
  <si>
    <t>FORRO DE PVC LISO, BRANCO, REGUA DE 10 CM, ESPESSURA DE 8 MM A 10 MM (COM COLOCACAO / SEM ESTRUTURA METALICA)</t>
  </si>
  <si>
    <t>2.3</t>
  </si>
  <si>
    <t>6.1</t>
  </si>
  <si>
    <t>7.1</t>
  </si>
  <si>
    <t>7.2</t>
  </si>
  <si>
    <t>8.1</t>
  </si>
  <si>
    <t>8.2</t>
  </si>
  <si>
    <t>DESPESAS INDIRETAS DA SEDE</t>
  </si>
  <si>
    <t>CÁLCULO DO BDI</t>
  </si>
  <si>
    <t>TIPO</t>
  </si>
  <si>
    <t>DESCRIÇÃO</t>
  </si>
  <si>
    <t>TAXA(%)*</t>
  </si>
  <si>
    <t>AC</t>
  </si>
  <si>
    <t>Taxa de Rateio da Administração Central</t>
  </si>
  <si>
    <t>DF</t>
  </si>
  <si>
    <t>Raxa de Despesas Financeiras</t>
  </si>
  <si>
    <t>R</t>
  </si>
  <si>
    <t>Taxa de Risco</t>
  </si>
  <si>
    <t>SG</t>
  </si>
  <si>
    <t>Taxa de Seguro e Garantia do empreendimento</t>
  </si>
  <si>
    <t>BENEFÍCIOS</t>
  </si>
  <si>
    <t>T</t>
  </si>
  <si>
    <t>Tributos (A+B+C)</t>
  </si>
  <si>
    <t>A) COFINS</t>
  </si>
  <si>
    <t>B) PIS</t>
  </si>
  <si>
    <t>C) ISS</t>
  </si>
  <si>
    <t>L</t>
  </si>
  <si>
    <t>Lucro</t>
  </si>
  <si>
    <t>BDI MÁXIMO ADMITIDO</t>
  </si>
  <si>
    <t xml:space="preserve">BASE DE CÁLCULOS: ACÓRDÃO Nº 2622/2013 – TCU – Plenário </t>
  </si>
  <si>
    <t>9.1</t>
  </si>
  <si>
    <t>9.2</t>
  </si>
  <si>
    <t>9.3</t>
  </si>
  <si>
    <t>9.4</t>
  </si>
  <si>
    <t>10.1</t>
  </si>
  <si>
    <t>10.2</t>
  </si>
  <si>
    <t>10.3</t>
  </si>
  <si>
    <t>10.4</t>
  </si>
  <si>
    <t>REVESTIMENTO CERÂMICO PARA PAREDES EXTERNAS EM PASTILHAS DE PORCELANA 5 X 5 CM (PLACAS DE 30 X 30 CM), ALINHADAS A PRUMO, APLICADO EM PANOS SEM VÃOS. AF_06/2014</t>
  </si>
  <si>
    <t>PLANTIO DE GRAMA EM PLACAS. AF_05/2018</t>
  </si>
  <si>
    <t>11.1</t>
  </si>
  <si>
    <t>PAISAGISMO</t>
  </si>
  <si>
    <t>CHAPISCO APLICADO EM ALVENARIAS E ESTRUTURAS DE CONCRETO EXTERNAS, COM COLHER DE PEDREIRO. ARGAMASSA TRAÇO 1:3 COM PREPARO EM BETONEIRA 400L. AF_06/2014</t>
  </si>
  <si>
    <t>ADMINISTRAÇÃO DA OBRA</t>
  </si>
  <si>
    <t>ENGENHEIRO CIVIL SENIOR</t>
  </si>
  <si>
    <t>h</t>
  </si>
  <si>
    <t>ENCARREGADO GERAL DE OBRAS</t>
  </si>
  <si>
    <t>SINAPI</t>
  </si>
  <si>
    <t>EXECUÇÃO DE ALMOXARIFADO EM CANTEIRO DE OBRA EM CHAPA DE MADEIRA COMPENSADA, INCLUSO PRATELEIRAS. AF_02/2016</t>
  </si>
  <si>
    <t>m²</t>
  </si>
  <si>
    <t>4.2</t>
  </si>
  <si>
    <t>4.3</t>
  </si>
  <si>
    <t>4.4</t>
  </si>
  <si>
    <t>4.5</t>
  </si>
  <si>
    <t>11.2</t>
  </si>
  <si>
    <t>11.3</t>
  </si>
  <si>
    <t>11.4</t>
  </si>
  <si>
    <t>12.1</t>
  </si>
  <si>
    <t>Total Geral da Obra</t>
  </si>
  <si>
    <t>CABO DE COBRE FLEXÍVEL ISOLADO, 1,5 MM², ANTI-CHAMA 450/750 V,  PARA CIRCUITOS TERMINAIS - FORNECIMENTO E INSTALAÇÃO. AF_12/2015</t>
  </si>
  <si>
    <t>m³</t>
  </si>
  <si>
    <t>Kg</t>
  </si>
  <si>
    <t>Unid.</t>
  </si>
  <si>
    <t>m</t>
  </si>
  <si>
    <t>MÊS 01</t>
  </si>
  <si>
    <t>MÊS 02</t>
  </si>
  <si>
    <t>MÊS 03</t>
  </si>
  <si>
    <t>MÊS 04</t>
  </si>
  <si>
    <t xml:space="preserve">SUBTOTAIS </t>
  </si>
  <si>
    <t xml:space="preserve">TOTAIS ACUMULAODOS </t>
  </si>
  <si>
    <t>TOTAL</t>
  </si>
  <si>
    <t>DESONERADO</t>
  </si>
  <si>
    <t>Grupo I</t>
  </si>
  <si>
    <t>INSS</t>
  </si>
  <si>
    <t>FGTS</t>
  </si>
  <si>
    <t>Salário Educação</t>
  </si>
  <si>
    <t>SESI</t>
  </si>
  <si>
    <t>SENAI</t>
  </si>
  <si>
    <t>SEBRAE</t>
  </si>
  <si>
    <t>INCRA</t>
  </si>
  <si>
    <t>Seguro Acidente</t>
  </si>
  <si>
    <t>SECONCI</t>
  </si>
  <si>
    <t>Total Grupo I</t>
  </si>
  <si>
    <t>Grupo II - encargos com incidência do Grupo I</t>
  </si>
  <si>
    <t>Repouso semanal remunerado</t>
  </si>
  <si>
    <t>Férias + bonificação de 1/3</t>
  </si>
  <si>
    <t>Feriados</t>
  </si>
  <si>
    <t>Auxilio enfermidade e faltas justificadas</t>
  </si>
  <si>
    <t>Acidente de trabalho</t>
  </si>
  <si>
    <t>Licença Paternidade</t>
  </si>
  <si>
    <t>13º Salário</t>
  </si>
  <si>
    <t>Adicional noturno</t>
  </si>
  <si>
    <t>Total Grupo II</t>
  </si>
  <si>
    <t>Incidência do GRUPO I sobre o GRUPO II </t>
  </si>
  <si>
    <t>Grupo III</t>
  </si>
  <si>
    <t>Aviso prévio</t>
  </si>
  <si>
    <t>Demissão sem justa causa</t>
  </si>
  <si>
    <t>Indenização adicional</t>
  </si>
  <si>
    <t>Incidência do GRUPO I no aviso prévio (sem FGTS e SECONCI) </t>
  </si>
  <si>
    <t>Total Grupo III</t>
  </si>
  <si>
    <t>Grupo IV</t>
  </si>
  <si>
    <t>EPI - Equipamentos de Proteção Individual</t>
  </si>
  <si>
    <t>Seguro de vida</t>
  </si>
  <si>
    <t>Vale transporte</t>
  </si>
  <si>
    <t>Vale compras</t>
  </si>
  <si>
    <t>Café da manhã</t>
  </si>
  <si>
    <t>Total Grupo IV</t>
  </si>
  <si>
    <t>SERVIÇO</t>
  </si>
  <si>
    <t>h/dia</t>
  </si>
  <si>
    <t>dias/mês</t>
  </si>
  <si>
    <t>quant. Meses</t>
  </si>
  <si>
    <t>L=</t>
  </si>
  <si>
    <t>x</t>
  </si>
  <si>
    <t xml:space="preserve">PLACA DE OBRA (PARA CONSTRUCAO CIVIL) EM CHAPA GALVANIZADA *N. 22*, ADESIVADA.
</t>
  </si>
  <si>
    <t>und</t>
  </si>
  <si>
    <t>área não uniforme</t>
  </si>
  <si>
    <t>unid.</t>
  </si>
  <si>
    <t/>
  </si>
  <si>
    <t>TUBO, PVC, SOLDÁVEL, DN 100 MM, INSTALADO EM RESERVAÇÃO DE ÁGUA DE EDIFICAÇÃO QUE POSSUA RESERVATÓRIO DE FIBRA/FIBROCIMENTO FORNECIMENTO E INSTALAÇÃO. AF_06/2016</t>
  </si>
  <si>
    <t>TAPUME COM COMPENSADO DE MADEIRA. AF_05/2018</t>
  </si>
  <si>
    <t>2.4</t>
  </si>
  <si>
    <t>TOTAL DO ITEM 1.0</t>
  </si>
  <si>
    <t>TOTAL DO ITEM 2.0</t>
  </si>
  <si>
    <t>DEMOLIÇÃO DE ALVENARIA DE BLOCO FURADO, DE FORMA MANUAL, SEM REAPROVEITAMENTO. AF_12/2017</t>
  </si>
  <si>
    <t>RETIRADA E RECOLOCAÇÃO DE RIPA EM TELHADOS DE ATÉ 2 ÁGUAS COM TELHA CERÂMICA OU DE CONCRETO DE ENCAIXE, INCLUSO TRANSPORTE VERTICAL. AF_07/2019</t>
  </si>
  <si>
    <t>DEMOLIÇÕES/ RETIRADAS</t>
  </si>
  <si>
    <t>RETIRADA E RECOLOCAÇÃO DE CAIBRO EM TELHADOS DE ATÉ 2 ÁGUAS COM TELHA CERÂMICA OU DE CONCRETO DE ENCAIXE, INCLUSO TRANSPORTE VERTICAL. AF_07/2019</t>
  </si>
  <si>
    <t>REMOÇÃO DE TELHAS, DE FIBROCIMENTO, METÁLICA E CERÂMICA, DE FORMA MANUAL, SEM REAPROVEITAMENTO. AF_12/2017</t>
  </si>
  <si>
    <t>REMOÇÃO DE TAPUME/ CHAPAS METÁLICAS E DE MADEIRA, DE FORMA MANUAL, SEM REAPROVEITAMENTO. AF_12/2017</t>
  </si>
  <si>
    <t>DEMOLIÇÃO DE REVESTIMENTO CERÂMICO, DE FORMA MANUAL, SEM REAPROVEITAMENTO. AF_12/2017</t>
  </si>
  <si>
    <t>Sinap desonerado 10/21</t>
  </si>
  <si>
    <t>VIDRO TEMPERADO INCOLOR E = 10 MM, SEM COLOCACAO</t>
  </si>
  <si>
    <t>5.2</t>
  </si>
  <si>
    <t>5.3</t>
  </si>
  <si>
    <t>5.4</t>
  </si>
  <si>
    <t>5.5</t>
  </si>
  <si>
    <t>5.6</t>
  </si>
  <si>
    <t>7.3</t>
  </si>
  <si>
    <t>7.4</t>
  </si>
  <si>
    <t>7.5</t>
  </si>
  <si>
    <t>7.6</t>
  </si>
  <si>
    <t>9.1.1</t>
  </si>
  <si>
    <t>9.1.2</t>
  </si>
  <si>
    <t>9.1.3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</si>
  <si>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</si>
  <si>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</si>
  <si>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</si>
  <si>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</si>
  <si>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</si>
  <si>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</si>
  <si>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</si>
  <si>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</si>
  <si>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9.3.1</t>
  </si>
  <si>
    <t>9.3.2</t>
  </si>
  <si>
    <t>9.4.1</t>
  </si>
  <si>
    <t>9.4.2</t>
  </si>
  <si>
    <t>9.4.3</t>
  </si>
  <si>
    <t>9.4.4</t>
  </si>
  <si>
    <t>9.4.5</t>
  </si>
  <si>
    <t>10.5</t>
  </si>
  <si>
    <t>10.6</t>
  </si>
  <si>
    <t>10.7</t>
  </si>
  <si>
    <t>10.8</t>
  </si>
  <si>
    <t>10.9</t>
  </si>
  <si>
    <t>10.10</t>
  </si>
  <si>
    <t>10.11</t>
  </si>
  <si>
    <t>10.12</t>
  </si>
  <si>
    <t>11.1.1</t>
  </si>
  <si>
    <t>11.1.2</t>
  </si>
  <si>
    <t>11.1.3</t>
  </si>
  <si>
    <t>11.2.1</t>
  </si>
  <si>
    <t>11.2.2</t>
  </si>
  <si>
    <t>11.2.3</t>
  </si>
  <si>
    <t>11.3.1</t>
  </si>
  <si>
    <t>11.3.2</t>
  </si>
  <si>
    <t>11.3.3</t>
  </si>
  <si>
    <t>11.3.5</t>
  </si>
  <si>
    <t>13.1</t>
  </si>
  <si>
    <t>TOTAL DO SUBITEM 9.1</t>
  </si>
  <si>
    <t>TOTAL DO SUBITEM 9.2</t>
  </si>
  <si>
    <t>TOTAL DO SUBITEM 9.3</t>
  </si>
  <si>
    <t>TOTAL DO SUBITEM 9.4</t>
  </si>
  <si>
    <t>TOTAL DO ITEM 9.0</t>
  </si>
  <si>
    <t>TOTAL DO ITEM 10.0</t>
  </si>
  <si>
    <t>TOTAL DO SUBITEM 11.1</t>
  </si>
  <si>
    <t>TOTAL DO SUBITEM 11.2</t>
  </si>
  <si>
    <t>TOTAL DO SUBITEM 11.3</t>
  </si>
  <si>
    <t>TOTAL DO SUBITEM 11.4</t>
  </si>
  <si>
    <t>TOTAL DO ITEM 11.0</t>
  </si>
  <si>
    <t>TOTAL DO ITEM 12.0</t>
  </si>
  <si>
    <t>TOTAL DO ITEM 13.0</t>
  </si>
  <si>
    <t>TOTAL DO ITEM 3.0</t>
  </si>
  <si>
    <t>TOTAL DO ITEM 4.0</t>
  </si>
  <si>
    <t>TOTAL DO ITEM 5.0</t>
  </si>
  <si>
    <t>TOTAL DO ITEM 6.0</t>
  </si>
  <si>
    <t>TOTAL DO ITEM 7.0</t>
  </si>
  <si>
    <t>TOTAL DO ITEM 8.0</t>
  </si>
  <si>
    <t>LIMPEZA DA OBRA</t>
  </si>
  <si>
    <t>LIMPEZA DA ÁREA CONSTRUÍDA. AF_04/2019</t>
  </si>
  <si>
    <t>Objeto: REFORMA E AMPLIAÇÃO DA ESCOLA ANTÔNIO MARTINS GOMES</t>
  </si>
  <si>
    <t>SUPERESTRUTURA</t>
  </si>
  <si>
    <t>kg/m³</t>
  </si>
  <si>
    <t>kg</t>
  </si>
  <si>
    <t>11.4.1</t>
  </si>
  <si>
    <t>INSTALAÇÕES HIDROSSANITÁRIAS</t>
  </si>
  <si>
    <t>11.5</t>
  </si>
  <si>
    <t>Pintura</t>
  </si>
  <si>
    <t>11.5.1</t>
  </si>
  <si>
    <t>11.5.2</t>
  </si>
  <si>
    <t>11.5.3</t>
  </si>
  <si>
    <t>11.5.4</t>
  </si>
  <si>
    <t>TOTAL DO SUBITEM 11.5</t>
  </si>
  <si>
    <t>MÊS 05</t>
  </si>
  <si>
    <t>BDI (%)</t>
  </si>
  <si>
    <t>9.1.4</t>
  </si>
  <si>
    <t>9.1.5</t>
  </si>
  <si>
    <t>TUBO, PVC, SOLDÁVEL, DN 20MM, INSTALADO EM RAMAL OU SUB-RAMAL DE ÁGUA - FORNECIMENTO E INSTALAÇÃO. AF_12/2014</t>
  </si>
  <si>
    <t>TUBO, PVC, SOLDÁVEL, DN 32MM, INSTALADO EM RAMAL OU SUB-RAMAL DE ÁGUA - FORNECIMENTO E INSTALAÇÃO. AF_12/2014</t>
  </si>
  <si>
    <t>TUBO, PVC, SOLDÁVEL, DN 75 MM, INSTALADO EM RESERVAÇÃO DE ÁGUA DE EDIFICAÇ ÃO QUE POSSUA RESERVATÓRIO DE FIBRA/FIBROCIMENTO FORNECIMENTO E INSTALAÇÃO. AF_06/2016</t>
  </si>
  <si>
    <t>MONTAGEM E DESMONTAGEM DE ANDAIME TUBULAR TIPO TORRE (EXCLUSIVE ANDAIME E LIMPEZA). AF_11/2017</t>
  </si>
  <si>
    <t>ARMAÇÃO DE BLOCO, VIGA BALDRAME OU SAPATA UTILIZANDO AÇO CA-50 DE 10 MM - MONTAGEM. AF_06/2017</t>
  </si>
  <si>
    <t>TUBO DE PVC PARA REDE COLETORA DE ESGOTO DE PAREDE MACIÇA, DN 300 MM, JUNTA ELÁSTICA, FORNECIMENTO E ASSENTAMENTO. AF_01/2021</t>
  </si>
  <si>
    <t>5.7</t>
  </si>
  <si>
    <t>5.8</t>
  </si>
  <si>
    <t>FABRICAÇÃO DE FÔRMA PARA LAJES (CALHA EM CONCRETO ARMADO), EM CHAPA DE MADEIRA COMPENSADA RESINADA, E = 17 MM. AF_09/2020</t>
  </si>
  <si>
    <t>TUBO DE PVC PARA REDE COLETORA DE ESGOTO DE PAREDE MACIÇA, DN 100 MM, JUNTA ELÁSTICA - FORNECIMENTO E ASSENTAMENTO. AF_01/2021</t>
  </si>
  <si>
    <t>AR CONDICIONADO SPLIT INVERTER, HI-WALL (PAREDE), 18000 BTU/H, CICLO FRIO - FORNECIMENTO E INSTALAÇÃO. AF_11/2021_P</t>
  </si>
  <si>
    <t>10.13</t>
  </si>
  <si>
    <t>4.6</t>
  </si>
  <si>
    <t>AR CONDICIONADO SPLIT INVERTER, HI-WALL (PAREDE), 9000 BTU/H, CICLO FRIO - FORNECIMENTO E INSTALAÇÃO. AF_11/2021_P</t>
  </si>
  <si>
    <t>10.14</t>
  </si>
  <si>
    <t>CONCRETO MAGRO PARA LASTRO, TRAÇO 1:4,5:4,5 (EM MASSA SECA DE CIMENTO/ AREIA MÉDIA/ BRITA 1) - PREPARO MANUAL. AF_05/2021</t>
  </si>
  <si>
    <t>FORRO EM RÉGUAS DE PVC, FRISADO, PARA AMBIENTES RESIDENCIAIS, INCLUSIVE ESTRUTURA DE FIXAÇÃO. AF_05/2017_P</t>
  </si>
  <si>
    <t>ESCOLA ESCOLA ANTÔNIO MARTINS GOMES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</si>
</sst>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R$&quot;* #,##0.00_-;\-&quot;R$&quot;* #,##0.00_-;_-&quot;R$&quot;* &quot;-&quot;??_-;_-@_-"/>
    <numFmt numFmtId="165" formatCode="&quot;R$&quot;\ #,##0.00"/>
    <numFmt numFmtId="166" formatCode="&quot;R$&quot;#,##0.00"/>
    <numFmt numFmtId="167" formatCode="0.0"/>
  </numFmts>
  <fonts count="2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rgb="FF000000"/>
      <name val="Cambria"/>
      <family val="2"/>
    </font>
    <font>
      <sz val="6"/>
      <color rgb="FF000000"/>
      <name val="Cambria"/>
      <family val="2"/>
    </font>
    <font>
      <b/>
      <sz val="6"/>
      <name val="Cambria"/>
      <family val="1"/>
    </font>
    <font>
      <sz val="6"/>
      <name val="Cambria"/>
      <family val="1"/>
    </font>
    <font>
      <b/>
      <sz val="6"/>
      <color rgb="FF000000"/>
      <name val="Cambria"/>
      <family val="1"/>
    </font>
    <font>
      <sz val="6"/>
      <color rgb="FF000000"/>
      <name val="Cambria"/>
      <family val="1"/>
    </font>
    <font>
      <sz val="6"/>
      <name val="Arial"/>
      <family val="2"/>
    </font>
    <font>
      <b/>
      <sz val="6"/>
      <name val="Arial"/>
      <family val="2"/>
    </font>
    <font>
      <sz val="6"/>
      <color rgb="FF000000"/>
      <name val="Times New Roman"/>
      <family val="1"/>
    </font>
    <font>
      <b/>
      <sz val="12"/>
      <color theme="1"/>
      <name val="Cambria"/>
      <family val="1"/>
    </font>
    <font>
      <b/>
      <sz val="10"/>
      <color theme="1"/>
      <name val="Cambria"/>
      <family val="1"/>
    </font>
    <font>
      <sz val="7"/>
      <color theme="1"/>
      <name val="Cambria"/>
      <family val="1"/>
    </font>
    <font>
      <b/>
      <sz val="7"/>
      <color theme="1"/>
      <name val="Cambria"/>
      <family val="1"/>
    </font>
    <font>
      <b/>
      <sz val="7"/>
      <color rgb="FF000000"/>
      <name val="Cambria"/>
      <family val="1"/>
    </font>
    <font>
      <sz val="7"/>
      <color rgb="FF000000"/>
      <name val="Cambria"/>
      <family val="1"/>
    </font>
    <font>
      <b/>
      <sz val="7"/>
      <name val="Cambria"/>
      <family val="1"/>
    </font>
    <font>
      <sz val="7"/>
      <name val="Cambria"/>
      <family val="1"/>
    </font>
    <font>
      <b/>
      <sz val="7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CE6F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4B3D6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horizontal="center" vertical="center"/>
    </xf>
    <xf numFmtId="1" fontId="9" fillId="2" borderId="1" xfId="3" applyNumberFormat="1" applyFont="1" applyFill="1" applyBorder="1" applyAlignment="1">
      <alignment horizontal="center" vertical="center" shrinkToFit="1"/>
    </xf>
    <xf numFmtId="167" fontId="10" fillId="0" borderId="1" xfId="3" applyNumberFormat="1" applyFont="1" applyBorder="1" applyAlignment="1">
      <alignment horizontal="center" vertical="center" shrinkToFit="1"/>
    </xf>
    <xf numFmtId="0" fontId="11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8" fillId="0" borderId="1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3" fillId="0" borderId="0" xfId="3" applyFont="1"/>
    <xf numFmtId="167" fontId="10" fillId="0" borderId="1" xfId="3" applyNumberFormat="1" applyFont="1" applyBorder="1" applyAlignment="1">
      <alignment horizontal="center" vertical="top" shrinkToFit="1"/>
    </xf>
    <xf numFmtId="167" fontId="6" fillId="0" borderId="26" xfId="3" applyNumberFormat="1" applyFont="1" applyBorder="1" applyAlignment="1">
      <alignment horizontal="center" vertical="center" shrinkToFit="1"/>
    </xf>
    <xf numFmtId="1" fontId="9" fillId="2" borderId="1" xfId="3" applyNumberFormat="1" applyFont="1" applyFill="1" applyBorder="1" applyAlignment="1">
      <alignment horizontal="center" vertical="center" shrinkToFit="1"/>
    </xf>
    <xf numFmtId="167" fontId="10" fillId="0" borderId="1" xfId="3" applyNumberFormat="1" applyFont="1" applyBorder="1" applyAlignment="1">
      <alignment horizontal="center" vertical="center" shrinkToFit="1"/>
    </xf>
    <xf numFmtId="0" fontId="11" fillId="0" borderId="0" xfId="3" applyFont="1" applyAlignment="1">
      <alignment vertical="center"/>
    </xf>
    <xf numFmtId="0" fontId="8" fillId="0" borderId="1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3" fillId="0" borderId="0" xfId="3" applyFont="1"/>
    <xf numFmtId="0" fontId="8" fillId="0" borderId="0" xfId="3" applyFont="1" applyAlignment="1">
      <alignment horizontal="center" vertical="center" wrapText="1"/>
    </xf>
    <xf numFmtId="1" fontId="5" fillId="2" borderId="21" xfId="3" applyNumberFormat="1" applyFont="1" applyFill="1" applyBorder="1" applyAlignment="1">
      <alignment horizontal="center" vertical="center" shrinkToFit="1"/>
    </xf>
    <xf numFmtId="1" fontId="5" fillId="2" borderId="21" xfId="3" applyNumberFormat="1" applyFont="1" applyFill="1" applyBorder="1" applyAlignment="1">
      <alignment horizontal="center" vertical="center" shrinkToFit="1"/>
    </xf>
    <xf numFmtId="167" fontId="10" fillId="0" borderId="1" xfId="3" applyNumberFormat="1" applyFont="1" applyBorder="1" applyAlignment="1">
      <alignment horizontal="center" vertical="center" shrinkToFit="1"/>
    </xf>
    <xf numFmtId="0" fontId="13" fillId="0" borderId="0" xfId="3" applyFont="1"/>
    <xf numFmtId="0" fontId="8" fillId="0" borderId="3" xfId="3" applyFont="1" applyBorder="1" applyAlignment="1">
      <alignment vertical="center" wrapText="1"/>
    </xf>
    <xf numFmtId="1" fontId="5" fillId="2" borderId="21" xfId="3" applyNumberFormat="1" applyFont="1" applyFill="1" applyBorder="1" applyAlignment="1">
      <alignment horizontal="center" vertical="center" shrinkToFit="1"/>
    </xf>
    <xf numFmtId="167" fontId="10" fillId="0" borderId="1" xfId="3" applyNumberFormat="1" applyFont="1" applyBorder="1" applyAlignment="1">
      <alignment horizontal="center" vertical="center" shrinkToFit="1"/>
    </xf>
    <xf numFmtId="0" fontId="8" fillId="0" borderId="1" xfId="3" applyFont="1" applyBorder="1" applyAlignment="1">
      <alignment horizontal="center" vertical="center" wrapText="1"/>
    </xf>
    <xf numFmtId="0" fontId="13" fillId="0" borderId="0" xfId="3" applyFont="1"/>
    <xf numFmtId="2" fontId="8" fillId="0" borderId="1" xfId="3" applyNumberFormat="1" applyFont="1" applyBorder="1" applyAlignment="1">
      <alignment horizontal="center" vertical="center" wrapText="1"/>
    </xf>
    <xf numFmtId="0" fontId="8" fillId="0" borderId="1" xfId="3" quotePrefix="1" applyFont="1" applyBorder="1" applyAlignment="1">
      <alignment horizontal="center" vertical="center" wrapText="1"/>
    </xf>
    <xf numFmtId="167" fontId="8" fillId="0" borderId="1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165" fontId="0" fillId="0" borderId="0" xfId="0" applyNumberFormat="1" applyAlignment="1">
      <alignment horizontal="center" vertical="center"/>
    </xf>
    <xf numFmtId="0" fontId="8" fillId="0" borderId="0" xfId="3" applyFont="1" applyBorder="1" applyAlignment="1">
      <alignment horizontal="center" vertical="center" wrapText="1"/>
    </xf>
    <xf numFmtId="2" fontId="8" fillId="0" borderId="0" xfId="3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left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7" fillId="2" borderId="28" xfId="3" applyFont="1" applyFill="1" applyBorder="1" applyAlignment="1">
      <alignment horizontal="left" vertical="center" wrapText="1"/>
    </xf>
    <xf numFmtId="0" fontId="7" fillId="2" borderId="23" xfId="3" applyFont="1" applyFill="1" applyBorder="1" applyAlignment="1">
      <alignment horizontal="left" vertical="center" wrapText="1"/>
    </xf>
    <xf numFmtId="0" fontId="7" fillId="2" borderId="29" xfId="3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 wrapText="1"/>
    </xf>
    <xf numFmtId="1" fontId="18" fillId="2" borderId="21" xfId="3" applyNumberFormat="1" applyFont="1" applyFill="1" applyBorder="1" applyAlignment="1">
      <alignment horizontal="center" vertical="center" shrinkToFit="1"/>
    </xf>
    <xf numFmtId="0" fontId="19" fillId="2" borderId="21" xfId="3" applyFont="1" applyFill="1" applyBorder="1" applyAlignment="1">
      <alignment horizontal="center" vertical="center" wrapText="1"/>
    </xf>
    <xf numFmtId="0" fontId="20" fillId="2" borderId="21" xfId="3" applyFont="1" applyFill="1" applyBorder="1" applyAlignment="1">
      <alignment horizontal="center" vertical="center" wrapText="1"/>
    </xf>
    <xf numFmtId="167" fontId="19" fillId="0" borderId="21" xfId="3" applyNumberFormat="1" applyFont="1" applyFill="1" applyBorder="1" applyAlignment="1">
      <alignment horizontal="center" vertical="center" shrinkToFit="1"/>
    </xf>
    <xf numFmtId="0" fontId="21" fillId="0" borderId="21" xfId="3" applyFont="1" applyFill="1" applyBorder="1" applyAlignment="1">
      <alignment horizontal="center" vertical="center" wrapText="1"/>
    </xf>
    <xf numFmtId="0" fontId="21" fillId="0" borderId="21" xfId="3" applyFont="1" applyFill="1" applyBorder="1" applyAlignment="1">
      <alignment horizontal="left" vertical="center" wrapText="1"/>
    </xf>
    <xf numFmtId="166" fontId="21" fillId="0" borderId="21" xfId="3" applyNumberFormat="1" applyFont="1" applyFill="1" applyBorder="1" applyAlignment="1">
      <alignment horizontal="center" vertical="center" wrapText="1"/>
    </xf>
    <xf numFmtId="9" fontId="21" fillId="0" borderId="21" xfId="6" applyFont="1" applyFill="1" applyBorder="1" applyAlignment="1">
      <alignment horizontal="center" vertical="center" wrapText="1"/>
    </xf>
    <xf numFmtId="10" fontId="21" fillId="0" borderId="22" xfId="4" applyNumberFormat="1" applyFont="1" applyFill="1" applyBorder="1" applyAlignment="1">
      <alignment horizontal="center" vertical="center" wrapText="1"/>
    </xf>
    <xf numFmtId="165" fontId="20" fillId="3" borderId="1" xfId="3" applyNumberFormat="1" applyFont="1" applyFill="1" applyBorder="1" applyAlignment="1">
      <alignment vertical="center" wrapText="1"/>
    </xf>
    <xf numFmtId="10" fontId="20" fillId="3" borderId="1" xfId="6" applyNumberFormat="1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19" fillId="2" borderId="41" xfId="3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left" vertical="center" wrapText="1"/>
    </xf>
    <xf numFmtId="2" fontId="21" fillId="0" borderId="1" xfId="3" applyNumberFormat="1" applyFont="1" applyFill="1" applyBorder="1" applyAlignment="1">
      <alignment horizontal="center" vertical="center" wrapText="1"/>
    </xf>
    <xf numFmtId="166" fontId="21" fillId="0" borderId="1" xfId="3" applyNumberFormat="1" applyFont="1" applyFill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/>
    </xf>
    <xf numFmtId="1" fontId="19" fillId="0" borderId="21" xfId="3" applyNumberFormat="1" applyFont="1" applyFill="1" applyBorder="1" applyAlignment="1">
      <alignment horizontal="center" vertical="center" shrinkToFit="1"/>
    </xf>
    <xf numFmtId="0" fontId="21" fillId="0" borderId="1" xfId="3" applyFont="1" applyFill="1" applyBorder="1" applyAlignment="1">
      <alignment horizontal="left" vertical="center" wrapText="1"/>
    </xf>
    <xf numFmtId="2" fontId="21" fillId="0" borderId="21" xfId="3" applyNumberFormat="1" applyFont="1" applyFill="1" applyBorder="1" applyAlignment="1">
      <alignment horizontal="center" vertical="center" wrapText="1"/>
    </xf>
    <xf numFmtId="10" fontId="21" fillId="0" borderId="21" xfId="4" applyNumberFormat="1" applyFont="1" applyFill="1" applyBorder="1" applyAlignment="1">
      <alignment horizontal="center" vertical="center" wrapText="1"/>
    </xf>
    <xf numFmtId="2" fontId="21" fillId="0" borderId="38" xfId="3" applyNumberFormat="1" applyFont="1" applyFill="1" applyBorder="1" applyAlignment="1">
      <alignment horizontal="center" vertical="center" wrapText="1"/>
    </xf>
    <xf numFmtId="165" fontId="20" fillId="3" borderId="1" xfId="3" applyNumberFormat="1" applyFont="1" applyFill="1" applyBorder="1" applyAlignment="1">
      <alignment horizontal="center" vertical="center" wrapText="1"/>
    </xf>
    <xf numFmtId="0" fontId="18" fillId="2" borderId="21" xfId="3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166" fontId="16" fillId="0" borderId="1" xfId="5" applyNumberFormat="1" applyFont="1" applyBorder="1" applyAlignment="1">
      <alignment horizontal="center" vertical="center"/>
    </xf>
    <xf numFmtId="10" fontId="16" fillId="0" borderId="1" xfId="6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21" fillId="5" borderId="1" xfId="3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30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165" fontId="20" fillId="8" borderId="1" xfId="3" applyNumberFormat="1" applyFont="1" applyFill="1" applyBorder="1" applyAlignment="1">
      <alignment horizontal="center" vertical="center" wrapText="1"/>
    </xf>
    <xf numFmtId="10" fontId="20" fillId="8" borderId="1" xfId="3" applyNumberFormat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/>
    </xf>
    <xf numFmtId="10" fontId="23" fillId="0" borderId="1" xfId="1" applyNumberFormat="1" applyFont="1" applyBorder="1" applyAlignment="1">
      <alignment horizontal="center" vertical="center"/>
    </xf>
    <xf numFmtId="165" fontId="22" fillId="0" borderId="1" xfId="1" applyNumberFormat="1" applyFont="1" applyBorder="1" applyAlignment="1">
      <alignment horizontal="center" vertical="center"/>
    </xf>
    <xf numFmtId="0" fontId="23" fillId="12" borderId="1" xfId="1" applyFont="1" applyFill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12" borderId="0" xfId="1" applyFont="1" applyFill="1" applyAlignment="1">
      <alignment horizontal="left" vertical="top"/>
    </xf>
    <xf numFmtId="166" fontId="24" fillId="0" borderId="0" xfId="0" applyNumberFormat="1" applyFont="1"/>
    <xf numFmtId="9" fontId="23" fillId="0" borderId="1" xfId="2" applyFont="1" applyBorder="1" applyAlignment="1">
      <alignment horizontal="center" vertical="center"/>
    </xf>
    <xf numFmtId="10" fontId="23" fillId="0" borderId="1" xfId="6" applyNumberFormat="1" applyFont="1" applyBorder="1" applyAlignment="1">
      <alignment horizontal="center" vertical="center"/>
    </xf>
    <xf numFmtId="9" fontId="23" fillId="0" borderId="1" xfId="6" applyFont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 vertical="center"/>
    </xf>
    <xf numFmtId="0" fontId="16" fillId="7" borderId="6" xfId="3" applyFont="1" applyFill="1" applyBorder="1"/>
    <xf numFmtId="0" fontId="16" fillId="6" borderId="9" xfId="3" applyFont="1" applyFill="1" applyBorder="1" applyAlignment="1">
      <alignment horizontal="center" vertical="center"/>
    </xf>
    <xf numFmtId="0" fontId="16" fillId="6" borderId="1" xfId="3" applyFont="1" applyFill="1" applyBorder="1" applyAlignment="1">
      <alignment horizontal="center" vertical="center"/>
    </xf>
    <xf numFmtId="0" fontId="16" fillId="6" borderId="2" xfId="3" applyFont="1" applyFill="1" applyBorder="1" applyAlignment="1">
      <alignment horizontal="center" vertical="center"/>
    </xf>
    <xf numFmtId="0" fontId="16" fillId="0" borderId="10" xfId="3" applyFont="1" applyBorder="1"/>
    <xf numFmtId="0" fontId="16" fillId="0" borderId="11" xfId="3" applyFont="1" applyBorder="1"/>
    <xf numFmtId="0" fontId="16" fillId="0" borderId="12" xfId="3" applyFont="1" applyBorder="1"/>
    <xf numFmtId="0" fontId="16" fillId="0" borderId="9" xfId="3" applyFont="1" applyBorder="1"/>
    <xf numFmtId="0" fontId="16" fillId="0" borderId="1" xfId="3" applyFont="1" applyBorder="1" applyAlignment="1">
      <alignment wrapText="1"/>
    </xf>
    <xf numFmtId="10" fontId="16" fillId="0" borderId="2" xfId="4" applyNumberFormat="1" applyFont="1" applyBorder="1"/>
    <xf numFmtId="0" fontId="16" fillId="0" borderId="13" xfId="3" applyFont="1" applyBorder="1"/>
    <xf numFmtId="0" fontId="16" fillId="0" borderId="0" xfId="3" applyFont="1"/>
    <xf numFmtId="0" fontId="16" fillId="0" borderId="14" xfId="3" applyFont="1" applyBorder="1"/>
    <xf numFmtId="0" fontId="16" fillId="0" borderId="1" xfId="3" applyFont="1" applyBorder="1"/>
    <xf numFmtId="0" fontId="16" fillId="0" borderId="9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15" xfId="3" applyFont="1" applyBorder="1"/>
    <xf numFmtId="0" fontId="16" fillId="0" borderId="16" xfId="3" applyFont="1" applyBorder="1"/>
    <xf numFmtId="10" fontId="16" fillId="0" borderId="17" xfId="4" applyNumberFormat="1" applyFont="1" applyBorder="1"/>
    <xf numFmtId="0" fontId="16" fillId="0" borderId="18" xfId="3" applyFont="1" applyBorder="1"/>
    <xf numFmtId="0" fontId="16" fillId="0" borderId="19" xfId="3" applyFont="1" applyBorder="1"/>
    <xf numFmtId="0" fontId="16" fillId="0" borderId="20" xfId="3" applyFont="1" applyBorder="1"/>
    <xf numFmtId="0" fontId="16" fillId="0" borderId="0" xfId="3" applyFont="1" applyAlignment="1">
      <alignment horizontal="center" vertical="center"/>
    </xf>
    <xf numFmtId="10" fontId="16" fillId="0" borderId="0" xfId="4" applyNumberFormat="1" applyFont="1" applyFill="1" applyBorder="1" applyAlignment="1">
      <alignment horizontal="center" vertical="center"/>
    </xf>
    <xf numFmtId="0" fontId="19" fillId="0" borderId="0" xfId="3" applyFont="1"/>
    <xf numFmtId="0" fontId="16" fillId="0" borderId="0" xfId="0" applyFont="1"/>
    <xf numFmtId="0" fontId="27" fillId="10" borderId="1" xfId="3" applyFont="1" applyFill="1" applyBorder="1" applyAlignment="1">
      <alignment vertical="center"/>
    </xf>
    <xf numFmtId="10" fontId="27" fillId="10" borderId="1" xfId="3" applyNumberFormat="1" applyFont="1" applyFill="1" applyBorder="1" applyAlignment="1">
      <alignment vertical="center" wrapText="1"/>
    </xf>
    <xf numFmtId="0" fontId="26" fillId="10" borderId="1" xfId="3" applyFont="1" applyFill="1" applyBorder="1" applyAlignment="1">
      <alignment vertical="center"/>
    </xf>
    <xf numFmtId="10" fontId="26" fillId="10" borderId="1" xfId="3" applyNumberFormat="1" applyFont="1" applyFill="1" applyBorder="1" applyAlignment="1">
      <alignment vertical="center" wrapText="1"/>
    </xf>
    <xf numFmtId="0" fontId="27" fillId="10" borderId="1" xfId="3" applyFont="1" applyFill="1" applyBorder="1" applyAlignment="1">
      <alignment vertical="center" wrapText="1"/>
    </xf>
    <xf numFmtId="0" fontId="26" fillId="10" borderId="1" xfId="3" applyFont="1" applyFill="1" applyBorder="1" applyAlignment="1">
      <alignment vertical="center" wrapText="1"/>
    </xf>
    <xf numFmtId="0" fontId="26" fillId="11" borderId="1" xfId="3" applyFont="1" applyFill="1" applyBorder="1" applyAlignment="1">
      <alignment vertical="center" wrapText="1"/>
    </xf>
    <xf numFmtId="10" fontId="26" fillId="11" borderId="1" xfId="3" applyNumberFormat="1" applyFont="1" applyFill="1" applyBorder="1" applyAlignment="1">
      <alignment vertical="center" wrapText="1"/>
    </xf>
    <xf numFmtId="0" fontId="20" fillId="3" borderId="2" xfId="3" applyFont="1" applyFill="1" applyBorder="1" applyAlignment="1">
      <alignment horizontal="right" vertical="center" wrapText="1"/>
    </xf>
    <xf numFmtId="0" fontId="20" fillId="3" borderId="3" xfId="3" applyFont="1" applyFill="1" applyBorder="1" applyAlignment="1">
      <alignment horizontal="right" vertical="center" wrapText="1"/>
    </xf>
    <xf numFmtId="0" fontId="20" fillId="3" borderId="4" xfId="3" applyFont="1" applyFill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20" fillId="3" borderId="39" xfId="3" applyFont="1" applyFill="1" applyBorder="1" applyAlignment="1">
      <alignment horizontal="right" vertical="center" wrapText="1"/>
    </xf>
    <xf numFmtId="0" fontId="20" fillId="3" borderId="38" xfId="3" applyFont="1" applyFill="1" applyBorder="1" applyAlignment="1">
      <alignment horizontal="right" vertical="center" wrapText="1"/>
    </xf>
    <xf numFmtId="0" fontId="20" fillId="3" borderId="40" xfId="3" applyFont="1" applyFill="1" applyBorder="1" applyAlignment="1">
      <alignment horizontal="right" vertical="center" wrapText="1"/>
    </xf>
    <xf numFmtId="0" fontId="20" fillId="3" borderId="24" xfId="3" applyFont="1" applyFill="1" applyBorder="1" applyAlignment="1">
      <alignment horizontal="right" vertical="center" wrapText="1"/>
    </xf>
    <xf numFmtId="0" fontId="20" fillId="3" borderId="23" xfId="3" applyFont="1" applyFill="1" applyBorder="1" applyAlignment="1">
      <alignment horizontal="right" vertical="center" wrapText="1"/>
    </xf>
    <xf numFmtId="0" fontId="20" fillId="3" borderId="25" xfId="3" applyFont="1" applyFill="1" applyBorder="1" applyAlignment="1">
      <alignment horizontal="right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20" fillId="8" borderId="2" xfId="3" applyFont="1" applyFill="1" applyBorder="1" applyAlignment="1">
      <alignment horizontal="right" vertical="center" wrapText="1"/>
    </xf>
    <xf numFmtId="0" fontId="20" fillId="8" borderId="3" xfId="3" applyFont="1" applyFill="1" applyBorder="1" applyAlignment="1">
      <alignment horizontal="right" vertical="center" wrapText="1"/>
    </xf>
    <xf numFmtId="0" fontId="20" fillId="8" borderId="4" xfId="3" applyFont="1" applyFill="1" applyBorder="1" applyAlignment="1">
      <alignment horizontal="right" vertical="center" wrapText="1"/>
    </xf>
    <xf numFmtId="0" fontId="20" fillId="3" borderId="31" xfId="3" applyFont="1" applyFill="1" applyBorder="1" applyAlignment="1">
      <alignment horizontal="right" vertical="center" wrapText="1"/>
    </xf>
    <xf numFmtId="0" fontId="20" fillId="3" borderId="30" xfId="3" applyFont="1" applyFill="1" applyBorder="1" applyAlignment="1">
      <alignment horizontal="right" vertical="center" wrapText="1"/>
    </xf>
    <xf numFmtId="0" fontId="20" fillId="3" borderId="34" xfId="3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23" fillId="12" borderId="31" xfId="1" applyFont="1" applyFill="1" applyBorder="1" applyAlignment="1">
      <alignment horizontal="center" vertical="center"/>
    </xf>
    <xf numFmtId="0" fontId="23" fillId="12" borderId="30" xfId="1" applyFont="1" applyFill="1" applyBorder="1" applyAlignment="1">
      <alignment horizontal="center" vertical="center"/>
    </xf>
    <xf numFmtId="0" fontId="23" fillId="12" borderId="34" xfId="1" applyFont="1" applyFill="1" applyBorder="1" applyAlignment="1">
      <alignment horizontal="center" vertical="center"/>
    </xf>
    <xf numFmtId="0" fontId="23" fillId="12" borderId="35" xfId="1" applyFont="1" applyFill="1" applyBorder="1" applyAlignment="1">
      <alignment horizontal="center" vertical="center"/>
    </xf>
    <xf numFmtId="0" fontId="23" fillId="12" borderId="36" xfId="1" applyFont="1" applyFill="1" applyBorder="1" applyAlignment="1">
      <alignment horizontal="center" vertical="center"/>
    </xf>
    <xf numFmtId="0" fontId="23" fillId="12" borderId="37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27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22" fillId="0" borderId="27" xfId="1" applyFont="1" applyBorder="1" applyAlignment="1">
      <alignment horizontal="center" vertical="center" wrapText="1"/>
    </xf>
    <xf numFmtId="0" fontId="22" fillId="0" borderId="32" xfId="1" applyFont="1" applyBorder="1" applyAlignment="1">
      <alignment horizontal="center" vertical="center" wrapText="1"/>
    </xf>
    <xf numFmtId="0" fontId="22" fillId="0" borderId="33" xfId="1" applyFont="1" applyBorder="1" applyAlignment="1">
      <alignment horizontal="center" vertical="center" wrapText="1"/>
    </xf>
    <xf numFmtId="165" fontId="23" fillId="0" borderId="27" xfId="1" applyNumberFormat="1" applyFont="1" applyBorder="1" applyAlignment="1">
      <alignment horizontal="center" vertical="center"/>
    </xf>
    <xf numFmtId="165" fontId="23" fillId="0" borderId="32" xfId="1" applyNumberFormat="1" applyFont="1" applyBorder="1" applyAlignment="1">
      <alignment horizontal="center" vertical="center"/>
    </xf>
    <xf numFmtId="165" fontId="23" fillId="0" borderId="33" xfId="1" applyNumberFormat="1" applyFont="1" applyBorder="1" applyAlignment="1">
      <alignment horizontal="center" vertical="center"/>
    </xf>
    <xf numFmtId="10" fontId="22" fillId="9" borderId="27" xfId="1" applyNumberFormat="1" applyFont="1" applyFill="1" applyBorder="1" applyAlignment="1">
      <alignment horizontal="center" vertical="center"/>
    </xf>
    <xf numFmtId="10" fontId="22" fillId="9" borderId="32" xfId="1" applyNumberFormat="1" applyFont="1" applyFill="1" applyBorder="1" applyAlignment="1">
      <alignment horizontal="center" vertical="center"/>
    </xf>
    <xf numFmtId="10" fontId="22" fillId="9" borderId="33" xfId="1" applyNumberFormat="1" applyFont="1" applyFill="1" applyBorder="1" applyAlignment="1">
      <alignment horizontal="center" vertical="center"/>
    </xf>
    <xf numFmtId="0" fontId="23" fillId="12" borderId="2" xfId="1" applyFont="1" applyFill="1" applyBorder="1" applyAlignment="1">
      <alignment horizontal="center" vertical="center"/>
    </xf>
    <xf numFmtId="0" fontId="23" fillId="12" borderId="3" xfId="1" applyFont="1" applyFill="1" applyBorder="1" applyAlignment="1">
      <alignment horizontal="center" vertical="center"/>
    </xf>
    <xf numFmtId="0" fontId="23" fillId="12" borderId="4" xfId="1" applyFont="1" applyFill="1" applyBorder="1" applyAlignment="1">
      <alignment horizontal="center" vertical="center"/>
    </xf>
    <xf numFmtId="0" fontId="22" fillId="0" borderId="31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22" fillId="0" borderId="35" xfId="1" applyFont="1" applyBorder="1" applyAlignment="1">
      <alignment horizontal="center" vertical="center"/>
    </xf>
    <xf numFmtId="0" fontId="22" fillId="0" borderId="36" xfId="1" applyFont="1" applyBorder="1" applyAlignment="1">
      <alignment horizontal="center" vertical="center"/>
    </xf>
    <xf numFmtId="0" fontId="22" fillId="0" borderId="37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165" fontId="22" fillId="0" borderId="2" xfId="1" applyNumberFormat="1" applyFont="1" applyBorder="1" applyAlignment="1">
      <alignment horizontal="center" vertical="center"/>
    </xf>
    <xf numFmtId="165" fontId="22" fillId="0" borderId="4" xfId="1" applyNumberFormat="1" applyFont="1" applyBorder="1" applyAlignment="1">
      <alignment horizontal="center" vertical="center"/>
    </xf>
    <xf numFmtId="0" fontId="8" fillId="0" borderId="2" xfId="3" applyFont="1" applyBorder="1" applyAlignment="1">
      <alignment horizontal="left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7" fillId="2" borderId="28" xfId="3" applyFont="1" applyFill="1" applyBorder="1" applyAlignment="1">
      <alignment horizontal="left" vertical="center" wrapText="1"/>
    </xf>
    <xf numFmtId="0" fontId="7" fillId="2" borderId="23" xfId="3" applyFont="1" applyFill="1" applyBorder="1" applyAlignment="1">
      <alignment horizontal="left" vertical="center" wrapText="1"/>
    </xf>
    <xf numFmtId="0" fontId="7" fillId="2" borderId="29" xfId="3" applyFont="1" applyFill="1" applyBorder="1" applyAlignment="1">
      <alignment horizontal="left" vertical="center" wrapText="1"/>
    </xf>
    <xf numFmtId="0" fontId="8" fillId="0" borderId="1" xfId="3" applyFont="1" applyBorder="1" applyAlignment="1">
      <alignment horizontal="left" vertical="top" wrapText="1"/>
    </xf>
    <xf numFmtId="0" fontId="7" fillId="2" borderId="1" xfId="3" applyFont="1" applyFill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25" fillId="0" borderId="1" xfId="3" applyFont="1" applyBorder="1" applyAlignment="1">
      <alignment horizontal="center"/>
    </xf>
    <xf numFmtId="0" fontId="26" fillId="10" borderId="1" xfId="3" applyFont="1" applyFill="1" applyBorder="1" applyAlignment="1">
      <alignment vertical="center" wrapText="1"/>
    </xf>
    <xf numFmtId="0" fontId="16" fillId="7" borderId="5" xfId="3" applyFont="1" applyFill="1" applyBorder="1" applyAlignment="1">
      <alignment horizontal="center"/>
    </xf>
    <xf numFmtId="0" fontId="16" fillId="7" borderId="6" xfId="3" applyFont="1" applyFill="1" applyBorder="1" applyAlignment="1">
      <alignment horizontal="center"/>
    </xf>
    <xf numFmtId="0" fontId="16" fillId="7" borderId="7" xfId="3" applyFont="1" applyFill="1" applyBorder="1" applyAlignment="1">
      <alignment horizontal="center"/>
    </xf>
    <xf numFmtId="0" fontId="16" fillId="7" borderId="8" xfId="3" applyFont="1" applyFill="1" applyBorder="1" applyAlignment="1">
      <alignment horizontal="center"/>
    </xf>
    <xf numFmtId="0" fontId="16" fillId="0" borderId="0" xfId="3" applyFont="1" applyAlignment="1">
      <alignment horizontal="center" vertical="center"/>
    </xf>
  </cellXfs>
  <cellStyles count="7">
    <cellStyle name="Moeda" xfId="5" builtinId="4"/>
    <cellStyle name="Normal" xfId="0" builtinId="0"/>
    <cellStyle name="Normal 2" xfId="1"/>
    <cellStyle name="Normal 3" xfId="3"/>
    <cellStyle name="Porcentagem" xfId="6" builtinId="5"/>
    <cellStyle name="Porcentagem 2" xfId="2"/>
    <cellStyle name="Porcentagem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200024</xdr:colOff>
      <xdr:row>0</xdr:row>
      <xdr:rowOff>19050</xdr:rowOff>
    </xdr:from>
    <xdr:to>
      <xdr:col>9</xdr:col>
      <xdr:colOff>383196</xdr:colOff>
      <xdr:row>1</xdr:row>
      <xdr:rowOff>352821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6F4013FC-BD0C-4F91-B4EB-5CE839A7C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4" y="19050"/>
          <a:ext cx="2783497" cy="7242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781050</xdr:colOff>
      <xdr:row>0</xdr:row>
      <xdr:rowOff>77015</xdr:rowOff>
    </xdr:from>
    <xdr:to>
      <xdr:col>8</xdr:col>
      <xdr:colOff>66676</xdr:colOff>
      <xdr:row>3</xdr:row>
      <xdr:rowOff>162320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C6BA1626-0175-4A4C-A7AD-B39888E60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150" y="77015"/>
          <a:ext cx="2524126" cy="6568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5</xdr:row>
      <xdr:rowOff>104775</xdr:rowOff>
    </xdr:from>
    <xdr:to>
      <xdr:col>7</xdr:col>
      <xdr:colOff>383506</xdr:colOff>
      <xdr:row>8</xdr:row>
      <xdr:rowOff>99492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8DEE8ECD-78C3-4589-A4BD-485B0854A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1114425"/>
          <a:ext cx="2536156" cy="58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zoomScaleNormal="100" workbookViewId="0">
      <selection sqref="A1:J3"/>
    </sheetView>
  </sheetViews>
  <sheetFormatPr defaultRowHeight="15" x14ac:dyDescent="0.25"/>
  <cols>
    <col min="1" max="1" width="4.42578125" style="1" bestFit="1" customWidth="1"/>
    <col min="2" max="2" width="5.28515625" style="1" bestFit="1" customWidth="1"/>
    <col min="3" max="3" width="5.5703125" style="1" bestFit="1" customWidth="1"/>
    <col min="4" max="4" width="32.42578125" style="1" customWidth="1"/>
    <col min="5" max="5" width="5.28515625" style="1" bestFit="1" customWidth="1"/>
    <col min="6" max="6" width="6.42578125" style="1" bestFit="1" customWidth="1"/>
    <col min="7" max="8" width="9.42578125" style="1" bestFit="1" customWidth="1"/>
    <col min="9" max="9" width="13.7109375" style="1" bestFit="1" customWidth="1"/>
    <col min="10" max="10" width="6.85546875" style="1" bestFit="1" customWidth="1"/>
    <col min="11" max="16384" width="9.140625" style="1"/>
  </cols>
  <sheetData>
    <row r="1" spans="1:11" ht="30.75" customHeight="1" x14ac:dyDescent="0.25">
      <c r="A1" s="139" t="s">
        <v>0</v>
      </c>
      <c r="B1" s="140"/>
      <c r="C1" s="140"/>
      <c r="D1" s="141"/>
      <c r="E1" s="131"/>
      <c r="F1" s="131"/>
      <c r="G1" s="131"/>
      <c r="H1" s="131"/>
      <c r="I1" s="131"/>
      <c r="J1" s="131"/>
    </row>
    <row r="2" spans="1:11" ht="29.25" customHeight="1" x14ac:dyDescent="0.25">
      <c r="A2" s="142"/>
      <c r="B2" s="143"/>
      <c r="C2" s="143"/>
      <c r="D2" s="144"/>
      <c r="E2" s="131"/>
      <c r="F2" s="131"/>
      <c r="G2" s="131"/>
      <c r="H2" s="131"/>
      <c r="I2" s="131"/>
      <c r="J2" s="131"/>
    </row>
    <row r="3" spans="1:11" x14ac:dyDescent="0.25">
      <c r="A3" s="132" t="s">
        <v>297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1" x14ac:dyDescent="0.25">
      <c r="A4" s="131" t="s">
        <v>228</v>
      </c>
      <c r="B4" s="131"/>
      <c r="C4" s="131"/>
      <c r="D4" s="131"/>
      <c r="E4" s="131"/>
      <c r="F4" s="131"/>
      <c r="G4" s="40" t="s">
        <v>311</v>
      </c>
      <c r="H4" s="41">
        <f>BDI!C15</f>
        <v>0.26240159730706081</v>
      </c>
      <c r="I4" s="40" t="s">
        <v>1</v>
      </c>
      <c r="J4" s="41">
        <v>1.4187000000000001</v>
      </c>
    </row>
    <row r="5" spans="1:11" x14ac:dyDescent="0.25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1" ht="18" x14ac:dyDescent="0.25">
      <c r="A6" s="42" t="s">
        <v>3</v>
      </c>
      <c r="B6" s="42" t="s">
        <v>4</v>
      </c>
      <c r="C6" s="42" t="s">
        <v>5</v>
      </c>
      <c r="D6" s="42" t="s">
        <v>205</v>
      </c>
      <c r="E6" s="42" t="s">
        <v>6</v>
      </c>
      <c r="F6" s="42" t="s">
        <v>7</v>
      </c>
      <c r="G6" s="43" t="s">
        <v>9</v>
      </c>
      <c r="H6" s="43" t="s">
        <v>8</v>
      </c>
      <c r="I6" s="42" t="s">
        <v>10</v>
      </c>
      <c r="J6" s="42" t="s">
        <v>11</v>
      </c>
    </row>
    <row r="7" spans="1:11" x14ac:dyDescent="0.25">
      <c r="A7" s="44">
        <v>1</v>
      </c>
      <c r="B7" s="45"/>
      <c r="C7" s="45"/>
      <c r="D7" s="46" t="s">
        <v>141</v>
      </c>
      <c r="E7" s="45"/>
      <c r="F7" s="45"/>
      <c r="G7" s="45"/>
      <c r="H7" s="45"/>
      <c r="I7" s="45"/>
      <c r="J7" s="45"/>
      <c r="K7" s="31"/>
    </row>
    <row r="8" spans="1:11" x14ac:dyDescent="0.25">
      <c r="A8" s="47" t="s">
        <v>12</v>
      </c>
      <c r="B8" s="48">
        <v>34782</v>
      </c>
      <c r="C8" s="48" t="s">
        <v>145</v>
      </c>
      <c r="D8" s="49" t="s">
        <v>142</v>
      </c>
      <c r="E8" s="48" t="s">
        <v>143</v>
      </c>
      <c r="F8" s="48">
        <f>12*4*1.5</f>
        <v>72</v>
      </c>
      <c r="G8" s="50">
        <v>124.97</v>
      </c>
      <c r="H8" s="50">
        <f>G8*$H$4+G8</f>
        <v>157.76232761546339</v>
      </c>
      <c r="I8" s="50">
        <f>F8*H8</f>
        <v>11358.887588313364</v>
      </c>
      <c r="J8" s="51">
        <f>I8/I136</f>
        <v>1.7987650742345599E-2</v>
      </c>
    </row>
    <row r="9" spans="1:11" x14ac:dyDescent="0.25">
      <c r="A9" s="47" t="s">
        <v>13</v>
      </c>
      <c r="B9" s="48">
        <v>90776</v>
      </c>
      <c r="C9" s="48" t="s">
        <v>145</v>
      </c>
      <c r="D9" s="49" t="s">
        <v>144</v>
      </c>
      <c r="E9" s="48" t="s">
        <v>143</v>
      </c>
      <c r="F9" s="48">
        <f>20*4*6</f>
        <v>480</v>
      </c>
      <c r="G9" s="50">
        <v>18.510000000000002</v>
      </c>
      <c r="H9" s="50">
        <f>G9*$H$4+G9</f>
        <v>23.367053566153697</v>
      </c>
      <c r="I9" s="50">
        <f>F9*H9</f>
        <v>11216.185711753775</v>
      </c>
      <c r="J9" s="52">
        <f>I9/I136</f>
        <v>1.7761671614030944E-2</v>
      </c>
    </row>
    <row r="10" spans="1:11" ht="15" customHeight="1" x14ac:dyDescent="0.25">
      <c r="A10" s="133" t="s">
        <v>219</v>
      </c>
      <c r="B10" s="134"/>
      <c r="C10" s="134"/>
      <c r="D10" s="134"/>
      <c r="E10" s="134"/>
      <c r="F10" s="134"/>
      <c r="G10" s="134"/>
      <c r="H10" s="135"/>
      <c r="I10" s="53">
        <f>SUM(I8:I9)</f>
        <v>22575.073300067139</v>
      </c>
      <c r="J10" s="54">
        <f>SUM(J8:J9)</f>
        <v>3.5749322356376539E-2</v>
      </c>
    </row>
    <row r="11" spans="1:11" x14ac:dyDescent="0.25">
      <c r="A11" s="44">
        <v>2</v>
      </c>
      <c r="B11" s="45"/>
      <c r="C11" s="45"/>
      <c r="D11" s="55" t="s">
        <v>18</v>
      </c>
      <c r="E11" s="45"/>
      <c r="F11" s="45"/>
      <c r="G11" s="45"/>
      <c r="H11" s="45"/>
      <c r="I11" s="56"/>
      <c r="J11" s="56"/>
    </row>
    <row r="12" spans="1:11" ht="18" x14ac:dyDescent="0.25">
      <c r="A12" s="40" t="s">
        <v>14</v>
      </c>
      <c r="B12" s="48">
        <v>4813</v>
      </c>
      <c r="C12" s="40" t="s">
        <v>44</v>
      </c>
      <c r="D12" s="57" t="s">
        <v>15</v>
      </c>
      <c r="E12" s="40" t="s">
        <v>147</v>
      </c>
      <c r="F12" s="58">
        <v>6</v>
      </c>
      <c r="G12" s="59">
        <v>250</v>
      </c>
      <c r="H12" s="60">
        <f>G12*$H$4+G12</f>
        <v>315.60039932676523</v>
      </c>
      <c r="I12" s="60">
        <f>F12*H12</f>
        <v>1893.6023959605914</v>
      </c>
      <c r="J12" s="41">
        <f>I12/I136</f>
        <v>2.998661469143528E-3</v>
      </c>
    </row>
    <row r="13" spans="1:11" ht="27" x14ac:dyDescent="0.25">
      <c r="A13" s="40" t="s">
        <v>19</v>
      </c>
      <c r="B13" s="61">
        <v>97064</v>
      </c>
      <c r="C13" s="40" t="s">
        <v>44</v>
      </c>
      <c r="D13" s="62" t="s">
        <v>317</v>
      </c>
      <c r="E13" s="40" t="s">
        <v>147</v>
      </c>
      <c r="F13" s="58">
        <f>6*5</f>
        <v>30</v>
      </c>
      <c r="G13" s="59">
        <v>14.76</v>
      </c>
      <c r="H13" s="60">
        <f>G13*$H$4+G13</f>
        <v>18.633047576252217</v>
      </c>
      <c r="I13" s="60">
        <f>F13*H13</f>
        <v>558.99142728756647</v>
      </c>
      <c r="J13" s="41">
        <f>I13/I136</f>
        <v>8.8520486569116925E-4</v>
      </c>
    </row>
    <row r="14" spans="1:11" ht="36" x14ac:dyDescent="0.25">
      <c r="A14" s="47" t="s">
        <v>99</v>
      </c>
      <c r="B14" s="48">
        <v>93208</v>
      </c>
      <c r="C14" s="48" t="s">
        <v>145</v>
      </c>
      <c r="D14" s="49" t="s">
        <v>146</v>
      </c>
      <c r="E14" s="48" t="s">
        <v>147</v>
      </c>
      <c r="F14" s="63">
        <f>3*4</f>
        <v>12</v>
      </c>
      <c r="G14" s="50">
        <v>842.58</v>
      </c>
      <c r="H14" s="60">
        <f>G14*$H$4+G14</f>
        <v>1063.6743378589833</v>
      </c>
      <c r="I14" s="60">
        <f>F14*H14</f>
        <v>12764.092054307799</v>
      </c>
      <c r="J14" s="64">
        <f>I14/$I$136</f>
        <v>2.0212897445367629E-2</v>
      </c>
    </row>
    <row r="15" spans="1:11" ht="18" x14ac:dyDescent="0.25">
      <c r="A15" s="47" t="s">
        <v>218</v>
      </c>
      <c r="B15" s="48">
        <v>98458</v>
      </c>
      <c r="C15" s="48" t="s">
        <v>145</v>
      </c>
      <c r="D15" s="49" t="s">
        <v>217</v>
      </c>
      <c r="E15" s="48" t="s">
        <v>147</v>
      </c>
      <c r="F15" s="65">
        <f>30*2.2</f>
        <v>66</v>
      </c>
      <c r="G15" s="50">
        <v>118.32</v>
      </c>
      <c r="H15" s="60">
        <f>G15*$H$4+G15</f>
        <v>149.36735699337143</v>
      </c>
      <c r="I15" s="60">
        <f>F15*H15</f>
        <v>9858.2455615625149</v>
      </c>
      <c r="J15" s="64">
        <f>I15/$I$136</f>
        <v>1.5611271501278737E-2</v>
      </c>
    </row>
    <row r="16" spans="1:11" ht="15" customHeight="1" x14ac:dyDescent="0.25">
      <c r="A16" s="133" t="s">
        <v>220</v>
      </c>
      <c r="B16" s="134"/>
      <c r="C16" s="134"/>
      <c r="D16" s="134"/>
      <c r="E16" s="134"/>
      <c r="F16" s="134"/>
      <c r="G16" s="134"/>
      <c r="H16" s="135"/>
      <c r="I16" s="66">
        <f>SUM(I12:I15)</f>
        <v>25074.931439118471</v>
      </c>
      <c r="J16" s="54">
        <f>SUM(J12:J15)</f>
        <v>3.9708035281481063E-2</v>
      </c>
    </row>
    <row r="17" spans="1:10" ht="15" customHeight="1" x14ac:dyDescent="0.25">
      <c r="A17" s="67">
        <v>3</v>
      </c>
      <c r="B17" s="45"/>
      <c r="C17" s="45"/>
      <c r="D17" s="55" t="s">
        <v>223</v>
      </c>
      <c r="E17" s="45"/>
      <c r="F17" s="45"/>
      <c r="G17" s="45"/>
      <c r="H17" s="45"/>
      <c r="I17" s="45"/>
      <c r="J17" s="45"/>
    </row>
    <row r="18" spans="1:10" ht="27" x14ac:dyDescent="0.25">
      <c r="A18" s="40" t="s">
        <v>20</v>
      </c>
      <c r="B18" s="48">
        <v>97622</v>
      </c>
      <c r="C18" s="48" t="s">
        <v>145</v>
      </c>
      <c r="D18" s="49" t="s">
        <v>221</v>
      </c>
      <c r="E18" s="40" t="s">
        <v>158</v>
      </c>
      <c r="F18" s="40">
        <f>17.7*0.1*3+3.77*4*0.1+8*3*0.1+3.08*3*0.1+2.51*2*0.1+2.54*3*0.1+12.29*3*0.1+2.4*3*0.1+3.69*3*0.1+120*3*0.1</f>
        <v>52.92</v>
      </c>
      <c r="G18" s="40">
        <v>44.52</v>
      </c>
      <c r="H18" s="60">
        <f t="shared" ref="H18:H23" si="0">G18*$H$4+G18</f>
        <v>56.202119112110353</v>
      </c>
      <c r="I18" s="60">
        <f t="shared" ref="I18:I23" si="1">F18*H18</f>
        <v>2974.2161434128798</v>
      </c>
      <c r="J18" s="41">
        <f t="shared" ref="J18:J23" si="2">I18/$I$136</f>
        <v>4.7098944156292004E-3</v>
      </c>
    </row>
    <row r="19" spans="1:10" ht="36" x14ac:dyDescent="0.25">
      <c r="A19" s="40" t="s">
        <v>21</v>
      </c>
      <c r="B19" s="48">
        <v>100388</v>
      </c>
      <c r="C19" s="48" t="s">
        <v>145</v>
      </c>
      <c r="D19" s="49" t="s">
        <v>222</v>
      </c>
      <c r="E19" s="40" t="s">
        <v>147</v>
      </c>
      <c r="F19" s="68">
        <f>7.26*24.04+8.4*13.81+5.4*5.84</f>
        <v>322.07040000000001</v>
      </c>
      <c r="G19" s="40">
        <v>15.65</v>
      </c>
      <c r="H19" s="60">
        <f t="shared" si="0"/>
        <v>19.756584997855501</v>
      </c>
      <c r="I19" s="60">
        <f t="shared" si="1"/>
        <v>6363.011232893321</v>
      </c>
      <c r="J19" s="41">
        <f t="shared" si="2"/>
        <v>1.0076305697810149E-2</v>
      </c>
    </row>
    <row r="20" spans="1:10" ht="36" x14ac:dyDescent="0.25">
      <c r="A20" s="40" t="s">
        <v>37</v>
      </c>
      <c r="B20" s="48">
        <v>100389</v>
      </c>
      <c r="C20" s="48" t="s">
        <v>145</v>
      </c>
      <c r="D20" s="49" t="s">
        <v>224</v>
      </c>
      <c r="E20" s="40" t="s">
        <v>147</v>
      </c>
      <c r="F20" s="68">
        <f>7.26*24.04+8.4*13.81+5.4*5.84</f>
        <v>322.07040000000001</v>
      </c>
      <c r="G20" s="40">
        <v>14.01</v>
      </c>
      <c r="H20" s="60">
        <f t="shared" si="0"/>
        <v>17.686246378271921</v>
      </c>
      <c r="I20" s="60">
        <f t="shared" si="1"/>
        <v>5696.216445548589</v>
      </c>
      <c r="J20" s="41">
        <f t="shared" si="2"/>
        <v>9.0203861230875506E-3</v>
      </c>
    </row>
    <row r="21" spans="1:10" ht="27" x14ac:dyDescent="0.25">
      <c r="A21" s="40" t="s">
        <v>38</v>
      </c>
      <c r="B21" s="48">
        <v>97647</v>
      </c>
      <c r="C21" s="48" t="s">
        <v>145</v>
      </c>
      <c r="D21" s="49" t="s">
        <v>225</v>
      </c>
      <c r="E21" s="40" t="s">
        <v>147</v>
      </c>
      <c r="F21" s="68">
        <f>7.26*24.04+8.4*13.81+5.4*5.84</f>
        <v>322.07040000000001</v>
      </c>
      <c r="G21" s="40">
        <v>2.68</v>
      </c>
      <c r="H21" s="60">
        <f t="shared" si="0"/>
        <v>3.3832362807829233</v>
      </c>
      <c r="I21" s="60">
        <f t="shared" si="1"/>
        <v>1089.6402622462683</v>
      </c>
      <c r="J21" s="41">
        <f t="shared" si="2"/>
        <v>1.7255271099125365E-3</v>
      </c>
    </row>
    <row r="22" spans="1:10" ht="27" x14ac:dyDescent="0.25">
      <c r="A22" s="40" t="s">
        <v>39</v>
      </c>
      <c r="B22" s="48">
        <v>97637</v>
      </c>
      <c r="C22" s="48" t="s">
        <v>145</v>
      </c>
      <c r="D22" s="49" t="s">
        <v>226</v>
      </c>
      <c r="E22" s="40" t="s">
        <v>147</v>
      </c>
      <c r="F22" s="68">
        <f>7.26*24.04+8.4*13.81+5.4*5.84</f>
        <v>322.07040000000001</v>
      </c>
      <c r="G22" s="40">
        <v>2.08</v>
      </c>
      <c r="H22" s="60">
        <f t="shared" si="0"/>
        <v>2.6257953223986865</v>
      </c>
      <c r="I22" s="60">
        <f t="shared" si="1"/>
        <v>845.69094980307398</v>
      </c>
      <c r="J22" s="41">
        <f t="shared" si="2"/>
        <v>1.3392150703798792E-3</v>
      </c>
    </row>
    <row r="23" spans="1:10" ht="27" x14ac:dyDescent="0.25">
      <c r="A23" s="40" t="s">
        <v>40</v>
      </c>
      <c r="B23" s="48">
        <v>97633</v>
      </c>
      <c r="C23" s="48" t="s">
        <v>145</v>
      </c>
      <c r="D23" s="49" t="s">
        <v>227</v>
      </c>
      <c r="E23" s="40" t="s">
        <v>147</v>
      </c>
      <c r="F23" s="68">
        <f>7.26*24.04+8.4*13.81+5.4*5.84</f>
        <v>322.07040000000001</v>
      </c>
      <c r="G23" s="40">
        <v>18.03</v>
      </c>
      <c r="H23" s="60">
        <f t="shared" si="0"/>
        <v>22.761100799446307</v>
      </c>
      <c r="I23" s="60">
        <f t="shared" si="1"/>
        <v>7330.6768389179924</v>
      </c>
      <c r="J23" s="41">
        <f t="shared" si="2"/>
        <v>1.1608676787956356E-2</v>
      </c>
    </row>
    <row r="24" spans="1:10" ht="15" customHeight="1" x14ac:dyDescent="0.25">
      <c r="A24" s="136" t="s">
        <v>289</v>
      </c>
      <c r="B24" s="137"/>
      <c r="C24" s="137"/>
      <c r="D24" s="137"/>
      <c r="E24" s="137"/>
      <c r="F24" s="137"/>
      <c r="G24" s="137"/>
      <c r="H24" s="138"/>
      <c r="I24" s="66">
        <f>SUM(I18:I23)</f>
        <v>24299.451872822123</v>
      </c>
      <c r="J24" s="54">
        <f>SUM(J18:J23)</f>
        <v>3.8480005204775673E-2</v>
      </c>
    </row>
    <row r="25" spans="1:10" ht="15" customHeight="1" x14ac:dyDescent="0.25">
      <c r="A25" s="67">
        <v>4</v>
      </c>
      <c r="B25" s="45"/>
      <c r="C25" s="45"/>
      <c r="D25" s="55" t="s">
        <v>17</v>
      </c>
      <c r="E25" s="45"/>
      <c r="F25" s="45"/>
      <c r="G25" s="45"/>
      <c r="H25" s="45"/>
      <c r="I25" s="45"/>
      <c r="J25" s="45"/>
    </row>
    <row r="26" spans="1:10" ht="36" x14ac:dyDescent="0.25">
      <c r="A26" s="40" t="s">
        <v>41</v>
      </c>
      <c r="B26" s="40">
        <v>96523</v>
      </c>
      <c r="C26" s="40" t="s">
        <v>44</v>
      </c>
      <c r="D26" s="62" t="s">
        <v>84</v>
      </c>
      <c r="E26" s="40" t="s">
        <v>158</v>
      </c>
      <c r="F26" s="68">
        <f>(0.8*1*0.38*6+0.5*0.9*0.38*11+0.4*0.6*0.38*19+0.6*0.6*0.38*5)</f>
        <v>6.1218000000000012</v>
      </c>
      <c r="G26" s="60">
        <v>77.5</v>
      </c>
      <c r="H26" s="69">
        <f>H4*G26+G26</f>
        <v>97.836123791297211</v>
      </c>
      <c r="I26" s="60">
        <f t="shared" ref="I26:I31" si="3">F26*H26</f>
        <v>598.9331826255634</v>
      </c>
      <c r="J26" s="70">
        <f t="shared" ref="J26:J31" si="4">I26/$I$136</f>
        <v>9.4845563205981395E-4</v>
      </c>
    </row>
    <row r="27" spans="1:10" ht="27" x14ac:dyDescent="0.25">
      <c r="A27" s="40" t="s">
        <v>148</v>
      </c>
      <c r="B27" s="40">
        <v>96527</v>
      </c>
      <c r="C27" s="40" t="s">
        <v>44</v>
      </c>
      <c r="D27" s="62" t="s">
        <v>85</v>
      </c>
      <c r="E27" s="40" t="s">
        <v>158</v>
      </c>
      <c r="F27" s="68">
        <f>(0.2*0.3*100)</f>
        <v>6</v>
      </c>
      <c r="G27" s="60">
        <v>101.8</v>
      </c>
      <c r="H27" s="60">
        <f>H4*G27+G27</f>
        <v>128.51248260585879</v>
      </c>
      <c r="I27" s="60">
        <f t="shared" si="3"/>
        <v>771.07489563515276</v>
      </c>
      <c r="J27" s="70">
        <f t="shared" si="4"/>
        <v>1.2210549502352445E-3</v>
      </c>
    </row>
    <row r="28" spans="1:10" ht="36" x14ac:dyDescent="0.25">
      <c r="A28" s="40" t="s">
        <v>149</v>
      </c>
      <c r="B28" s="40">
        <v>94974</v>
      </c>
      <c r="C28" s="40" t="s">
        <v>44</v>
      </c>
      <c r="D28" s="62" t="s">
        <v>329</v>
      </c>
      <c r="E28" s="40" t="s">
        <v>158</v>
      </c>
      <c r="F28" s="68">
        <f>(0.8*1*0.05*6+0.5*0.9*0.05*11+0.4*0.6*0.05*19+0.6*0.6*0.05*5)</f>
        <v>0.80549999999999999</v>
      </c>
      <c r="G28" s="60">
        <v>1.88</v>
      </c>
      <c r="H28" s="60">
        <f>H4*G28+G28</f>
        <v>2.3733150029372743</v>
      </c>
      <c r="I28" s="60">
        <f t="shared" si="3"/>
        <v>1.9117052348659744</v>
      </c>
      <c r="J28" s="70">
        <f t="shared" si="4"/>
        <v>3.0273286727885399E-6</v>
      </c>
    </row>
    <row r="29" spans="1:10" ht="39" customHeight="1" x14ac:dyDescent="0.25">
      <c r="A29" s="40" t="s">
        <v>150</v>
      </c>
      <c r="B29" s="40">
        <v>96531</v>
      </c>
      <c r="C29" s="40" t="s">
        <v>44</v>
      </c>
      <c r="D29" s="62" t="s">
        <v>22</v>
      </c>
      <c r="E29" s="40" t="s">
        <v>147</v>
      </c>
      <c r="F29" s="68">
        <f>(0.8*0.38*2*6+1*0.38*2*6+0.5*0.38*2*11+0.9*0.38*2*11+0.4*0.38*2*19+0.6*0.38*2*19+0.6*0.38*2*5+0.6*0.38*2*5)</f>
        <v>38.912000000000006</v>
      </c>
      <c r="G29" s="60">
        <v>108.82</v>
      </c>
      <c r="H29" s="60">
        <f>H4*G29+G29</f>
        <v>137.37454181895436</v>
      </c>
      <c r="I29" s="60">
        <f t="shared" si="3"/>
        <v>5345.518171259153</v>
      </c>
      <c r="J29" s="70">
        <f t="shared" si="4"/>
        <v>8.465029093200932E-3</v>
      </c>
    </row>
    <row r="30" spans="1:10" ht="36" x14ac:dyDescent="0.25">
      <c r="A30" s="40" t="s">
        <v>151</v>
      </c>
      <c r="B30" s="40">
        <v>94964</v>
      </c>
      <c r="C30" s="40" t="s">
        <v>44</v>
      </c>
      <c r="D30" s="62" t="s">
        <v>23</v>
      </c>
      <c r="E30" s="40" t="s">
        <v>158</v>
      </c>
      <c r="F30" s="68">
        <f>(0.8*1*0.38*6+0.5*0.9*0.38*11+0.4*0.6*0.38*19+0.6*0.6*0.38*5)</f>
        <v>6.1218000000000012</v>
      </c>
      <c r="G30" s="60">
        <v>457.76</v>
      </c>
      <c r="H30" s="60">
        <f>$H$4*G30+G30</f>
        <v>577.87695518328019</v>
      </c>
      <c r="I30" s="60">
        <f t="shared" si="3"/>
        <v>3537.6471442410052</v>
      </c>
      <c r="J30" s="70">
        <f t="shared" si="4"/>
        <v>5.6021296791187152E-3</v>
      </c>
    </row>
    <row r="31" spans="1:10" ht="27" x14ac:dyDescent="0.25">
      <c r="A31" s="40" t="s">
        <v>326</v>
      </c>
      <c r="B31" s="40">
        <v>96546</v>
      </c>
      <c r="C31" s="40" t="s">
        <v>44</v>
      </c>
      <c r="D31" s="62" t="s">
        <v>318</v>
      </c>
      <c r="E31" s="40" t="s">
        <v>300</v>
      </c>
      <c r="F31" s="68">
        <f>0.00007854*7850*223.4</f>
        <v>137.73481260000003</v>
      </c>
      <c r="G31" s="60">
        <v>13.91</v>
      </c>
      <c r="H31" s="60">
        <f>$H$4*G31+G31</f>
        <v>17.560006218541215</v>
      </c>
      <c r="I31" s="60">
        <f t="shared" si="3"/>
        <v>2418.6241657656092</v>
      </c>
      <c r="J31" s="70">
        <f t="shared" si="4"/>
        <v>3.830072833500829E-3</v>
      </c>
    </row>
    <row r="32" spans="1:10" ht="13.5" customHeight="1" x14ac:dyDescent="0.25">
      <c r="A32" s="127" t="s">
        <v>290</v>
      </c>
      <c r="B32" s="128"/>
      <c r="C32" s="128"/>
      <c r="D32" s="128"/>
      <c r="E32" s="128"/>
      <c r="F32" s="128"/>
      <c r="G32" s="128"/>
      <c r="H32" s="129"/>
      <c r="I32" s="66">
        <f>SUM(I26:I31)</f>
        <v>12673.70926476135</v>
      </c>
      <c r="J32" s="54">
        <f>SUM(J26:J31)</f>
        <v>2.0069769516788322E-2</v>
      </c>
    </row>
    <row r="33" spans="1:10" x14ac:dyDescent="0.25">
      <c r="A33" s="67">
        <v>5</v>
      </c>
      <c r="B33" s="45"/>
      <c r="C33" s="45"/>
      <c r="D33" s="55" t="s">
        <v>298</v>
      </c>
      <c r="E33" s="45"/>
      <c r="F33" s="45"/>
      <c r="G33" s="45"/>
      <c r="H33" s="45"/>
      <c r="I33" s="45"/>
      <c r="J33" s="45"/>
    </row>
    <row r="34" spans="1:10" ht="44.25" customHeight="1" x14ac:dyDescent="0.25">
      <c r="A34" s="40" t="s">
        <v>42</v>
      </c>
      <c r="B34" s="40">
        <v>92263</v>
      </c>
      <c r="C34" s="40" t="s">
        <v>44</v>
      </c>
      <c r="D34" s="62" t="s">
        <v>43</v>
      </c>
      <c r="E34" s="40" t="s">
        <v>147</v>
      </c>
      <c r="F34" s="68">
        <f>0.5*4.7*2*6+0.3*4.7*2*6+0.2*5.8*2*11+0.4*5.8*2*11+0.12*3.9*2*19+0.3*3.9*2*19</f>
        <v>183.92399999999998</v>
      </c>
      <c r="G34" s="60">
        <v>155.54</v>
      </c>
      <c r="H34" s="60">
        <f>H4*G34+G34</f>
        <v>196.35394444514023</v>
      </c>
      <c r="I34" s="60">
        <f t="shared" ref="I34:I41" si="5">F34*H34</f>
        <v>36114.202878127966</v>
      </c>
      <c r="J34" s="70">
        <f t="shared" ref="J34:J41" si="6">I34/$I$136</f>
        <v>5.7189549870916193E-2</v>
      </c>
    </row>
    <row r="35" spans="1:10" ht="27" x14ac:dyDescent="0.25">
      <c r="A35" s="40" t="s">
        <v>230</v>
      </c>
      <c r="B35" s="40">
        <v>92265</v>
      </c>
      <c r="C35" s="40" t="s">
        <v>44</v>
      </c>
      <c r="D35" s="62" t="s">
        <v>45</v>
      </c>
      <c r="E35" s="40" t="s">
        <v>147</v>
      </c>
      <c r="F35" s="68">
        <f>0.3*190*2</f>
        <v>114</v>
      </c>
      <c r="G35" s="60">
        <v>111.7</v>
      </c>
      <c r="H35" s="60">
        <f>$H$4*G35+G35</f>
        <v>141.01025841919869</v>
      </c>
      <c r="I35" s="60">
        <f t="shared" si="5"/>
        <v>16075.169459788651</v>
      </c>
      <c r="J35" s="70">
        <f t="shared" si="6"/>
        <v>2.5456236943853235E-2</v>
      </c>
    </row>
    <row r="36" spans="1:10" ht="36" x14ac:dyDescent="0.25">
      <c r="A36" s="40" t="s">
        <v>231</v>
      </c>
      <c r="B36" s="40">
        <v>92267</v>
      </c>
      <c r="C36" s="40" t="s">
        <v>44</v>
      </c>
      <c r="D36" s="62" t="s">
        <v>322</v>
      </c>
      <c r="E36" s="40" t="s">
        <v>147</v>
      </c>
      <c r="F36" s="68">
        <f>0.7*28+0.3*28*2+0.23*28*2</f>
        <v>49.28</v>
      </c>
      <c r="G36" s="60">
        <v>54.47</v>
      </c>
      <c r="H36" s="60">
        <f>$H$4*G36+G36</f>
        <v>68.763015005315594</v>
      </c>
      <c r="I36" s="60">
        <f t="shared" si="5"/>
        <v>3388.6413794619525</v>
      </c>
      <c r="J36" s="70">
        <f t="shared" si="6"/>
        <v>5.3661678708339586E-3</v>
      </c>
    </row>
    <row r="37" spans="1:10" ht="36" x14ac:dyDescent="0.25">
      <c r="A37" s="40" t="s">
        <v>232</v>
      </c>
      <c r="B37" s="40">
        <v>90698</v>
      </c>
      <c r="C37" s="40" t="s">
        <v>44</v>
      </c>
      <c r="D37" s="62" t="s">
        <v>319</v>
      </c>
      <c r="E37" s="40" t="s">
        <v>161</v>
      </c>
      <c r="F37" s="68">
        <f>5*6</f>
        <v>30</v>
      </c>
      <c r="G37" s="60">
        <v>380.34</v>
      </c>
      <c r="H37" s="60">
        <f>$H$4*G37+G37</f>
        <v>480.14182351976746</v>
      </c>
      <c r="I37" s="60">
        <f t="shared" si="5"/>
        <v>14404.254705593024</v>
      </c>
      <c r="J37" s="70">
        <f t="shared" si="6"/>
        <v>2.2810218063480985E-2</v>
      </c>
    </row>
    <row r="38" spans="1:10" ht="53.25" customHeight="1" x14ac:dyDescent="0.25">
      <c r="A38" s="40" t="s">
        <v>233</v>
      </c>
      <c r="B38" s="40">
        <v>92720</v>
      </c>
      <c r="C38" s="40" t="s">
        <v>44</v>
      </c>
      <c r="D38" s="62" t="s">
        <v>46</v>
      </c>
      <c r="E38" s="40" t="s">
        <v>158</v>
      </c>
      <c r="F38" s="68">
        <f>0.3*0.5*4.7*6+0.2*0.4*5.8*11+0.12*0.3*4.7*19+0.07069*4.7*5</f>
        <v>14.210015</v>
      </c>
      <c r="G38" s="60">
        <v>594.13</v>
      </c>
      <c r="H38" s="60">
        <f>H4*G38+G38</f>
        <v>750.03066100804404</v>
      </c>
      <c r="I38" s="60">
        <f t="shared" si="5"/>
        <v>10657.946943384221</v>
      </c>
      <c r="J38" s="70">
        <f t="shared" si="6"/>
        <v>1.687765864020771E-2</v>
      </c>
    </row>
    <row r="39" spans="1:10" ht="45" x14ac:dyDescent="0.25">
      <c r="A39" s="40" t="s">
        <v>234</v>
      </c>
      <c r="B39" s="40">
        <v>92724</v>
      </c>
      <c r="C39" s="40" t="s">
        <v>44</v>
      </c>
      <c r="D39" s="71" t="s">
        <v>47</v>
      </c>
      <c r="E39" s="40" t="s">
        <v>158</v>
      </c>
      <c r="F39" s="68">
        <f>0.3*0.12*180+1.1*0.1*28</f>
        <v>9.56</v>
      </c>
      <c r="G39" s="60">
        <v>574.16</v>
      </c>
      <c r="H39" s="60">
        <f>H4*G39+G39</f>
        <v>724.82050110982198</v>
      </c>
      <c r="I39" s="60">
        <f t="shared" si="5"/>
        <v>6929.2839906098989</v>
      </c>
      <c r="J39" s="70">
        <f t="shared" si="6"/>
        <v>1.0973041096546775E-2</v>
      </c>
    </row>
    <row r="40" spans="1:10" ht="52.5" customHeight="1" x14ac:dyDescent="0.25">
      <c r="A40" s="40" t="s">
        <v>320</v>
      </c>
      <c r="B40" s="40">
        <v>92778</v>
      </c>
      <c r="C40" s="40" t="s">
        <v>44</v>
      </c>
      <c r="D40" s="71" t="s">
        <v>48</v>
      </c>
      <c r="E40" s="40" t="s">
        <v>159</v>
      </c>
      <c r="F40" s="68">
        <f>0.00007854*5*14*6*7850+0.00007854*6.5*12*11*7850+0.00007854*5*8*19*7850+0.00007854*5*8*5*7850+0.00007854*28*11*7850</f>
        <v>1569.708294</v>
      </c>
      <c r="G40" s="60">
        <v>14.38</v>
      </c>
      <c r="H40" s="60">
        <f>H4*G40+G40</f>
        <v>18.153334969275534</v>
      </c>
      <c r="I40" s="60">
        <f t="shared" si="5"/>
        <v>28495.440465032039</v>
      </c>
      <c r="J40" s="70">
        <f t="shared" si="6"/>
        <v>4.5124667961469564E-2</v>
      </c>
    </row>
    <row r="41" spans="1:10" ht="53.25" customHeight="1" x14ac:dyDescent="0.25">
      <c r="A41" s="40" t="s">
        <v>321</v>
      </c>
      <c r="B41" s="40">
        <v>92775</v>
      </c>
      <c r="C41" s="40" t="s">
        <v>44</v>
      </c>
      <c r="D41" s="71" t="s">
        <v>49</v>
      </c>
      <c r="E41" s="40" t="s">
        <v>159</v>
      </c>
      <c r="F41" s="68">
        <f>0.000019635*3253*7850</f>
        <v>501.40034175</v>
      </c>
      <c r="G41" s="60">
        <v>18.12</v>
      </c>
      <c r="H41" s="60">
        <f>H4*G41+G41</f>
        <v>22.874716943203943</v>
      </c>
      <c r="I41" s="60">
        <f t="shared" si="5"/>
        <v>11469.390892756972</v>
      </c>
      <c r="J41" s="70">
        <f t="shared" si="6"/>
        <v>1.8162641015887153E-2</v>
      </c>
    </row>
    <row r="42" spans="1:10" ht="15.75" customHeight="1" x14ac:dyDescent="0.25">
      <c r="A42" s="127" t="s">
        <v>291</v>
      </c>
      <c r="B42" s="128"/>
      <c r="C42" s="128"/>
      <c r="D42" s="128"/>
      <c r="E42" s="128"/>
      <c r="F42" s="128"/>
      <c r="G42" s="128"/>
      <c r="H42" s="129"/>
      <c r="I42" s="66">
        <f>SUM(I34:I41)</f>
        <v>127534.33071475472</v>
      </c>
      <c r="J42" s="54">
        <f>SUM(J34:J41)</f>
        <v>0.20196018146319561</v>
      </c>
    </row>
    <row r="43" spans="1:10" x14ac:dyDescent="0.25">
      <c r="A43" s="67">
        <v>6</v>
      </c>
      <c r="B43" s="45"/>
      <c r="C43" s="45"/>
      <c r="D43" s="55" t="s">
        <v>25</v>
      </c>
      <c r="E43" s="45"/>
      <c r="F43" s="45"/>
      <c r="G43" s="45"/>
      <c r="H43" s="45"/>
      <c r="I43" s="45"/>
      <c r="J43" s="45"/>
    </row>
    <row r="44" spans="1:10" ht="63" x14ac:dyDescent="0.25">
      <c r="A44" s="40" t="s">
        <v>100</v>
      </c>
      <c r="B44" s="40">
        <v>87503</v>
      </c>
      <c r="C44" s="40" t="s">
        <v>44</v>
      </c>
      <c r="D44" s="62" t="s">
        <v>50</v>
      </c>
      <c r="E44" s="40" t="s">
        <v>147</v>
      </c>
      <c r="F44" s="68">
        <f>'MEMÓRIA DE CÁLCULO'!C243</f>
        <v>589.08199999999999</v>
      </c>
      <c r="G44" s="60">
        <v>72.260000000000005</v>
      </c>
      <c r="H44" s="60">
        <f>H4*G44+G44</f>
        <v>91.221139421408225</v>
      </c>
      <c r="I44" s="60">
        <f>F44*H44</f>
        <v>53736.731252641999</v>
      </c>
      <c r="J44" s="41">
        <f>I44/I136</f>
        <v>8.5096145753066482E-2</v>
      </c>
    </row>
    <row r="45" spans="1:10" ht="15" customHeight="1" x14ac:dyDescent="0.25">
      <c r="A45" s="127" t="s">
        <v>292</v>
      </c>
      <c r="B45" s="128"/>
      <c r="C45" s="128"/>
      <c r="D45" s="128"/>
      <c r="E45" s="128"/>
      <c r="F45" s="128"/>
      <c r="G45" s="128"/>
      <c r="H45" s="129"/>
      <c r="I45" s="66">
        <f>SUM(I44)</f>
        <v>53736.731252641999</v>
      </c>
      <c r="J45" s="54">
        <f>J44</f>
        <v>8.5096145753066482E-2</v>
      </c>
    </row>
    <row r="46" spans="1:10" ht="14.25" customHeight="1" x14ac:dyDescent="0.25">
      <c r="A46" s="67">
        <v>7</v>
      </c>
      <c r="B46" s="45"/>
      <c r="C46" s="45"/>
      <c r="D46" s="55" t="s">
        <v>26</v>
      </c>
      <c r="E46" s="45"/>
      <c r="F46" s="45"/>
      <c r="G46" s="45"/>
      <c r="H46" s="45"/>
      <c r="I46" s="45"/>
      <c r="J46" s="45"/>
    </row>
    <row r="47" spans="1:10" ht="66.75" customHeight="1" x14ac:dyDescent="0.25">
      <c r="A47" s="40" t="s">
        <v>101</v>
      </c>
      <c r="B47" s="40">
        <v>91314</v>
      </c>
      <c r="C47" s="40" t="s">
        <v>44</v>
      </c>
      <c r="D47" s="62" t="s">
        <v>51</v>
      </c>
      <c r="E47" s="40" t="s">
        <v>160</v>
      </c>
      <c r="F47" s="40">
        <v>13</v>
      </c>
      <c r="G47" s="60">
        <v>676.34</v>
      </c>
      <c r="H47" s="60">
        <f>H4*G47+G47</f>
        <v>853.81269632265753</v>
      </c>
      <c r="I47" s="60">
        <f t="shared" ref="I47:I52" si="7">F47*H47</f>
        <v>11099.565052194548</v>
      </c>
      <c r="J47" s="41">
        <f>I47/I136</f>
        <v>1.7576994049684623E-2</v>
      </c>
    </row>
    <row r="48" spans="1:10" ht="54" x14ac:dyDescent="0.25">
      <c r="A48" s="40" t="s">
        <v>102</v>
      </c>
      <c r="B48" s="40">
        <v>94559</v>
      </c>
      <c r="C48" s="40" t="s">
        <v>44</v>
      </c>
      <c r="D48" s="72" t="s">
        <v>52</v>
      </c>
      <c r="E48" s="40" t="s">
        <v>160</v>
      </c>
      <c r="F48" s="40">
        <v>6</v>
      </c>
      <c r="G48" s="60">
        <v>786.18</v>
      </c>
      <c r="H48" s="60">
        <f>H4*G48+G48</f>
        <v>992.47488777086505</v>
      </c>
      <c r="I48" s="60">
        <f t="shared" si="7"/>
        <v>5954.8493266251899</v>
      </c>
      <c r="J48" s="41">
        <f>I48/I136</f>
        <v>9.4299506952450329E-3</v>
      </c>
    </row>
    <row r="49" spans="1:10" ht="54" x14ac:dyDescent="0.25">
      <c r="A49" s="40" t="s">
        <v>235</v>
      </c>
      <c r="B49" s="40">
        <v>94573</v>
      </c>
      <c r="C49" s="40" t="s">
        <v>44</v>
      </c>
      <c r="D49" s="71" t="s">
        <v>54</v>
      </c>
      <c r="E49" s="40" t="s">
        <v>160</v>
      </c>
      <c r="F49" s="40">
        <v>16</v>
      </c>
      <c r="G49" s="60">
        <v>267.95</v>
      </c>
      <c r="H49" s="60">
        <f>H4*G49+G49</f>
        <v>338.26050799842693</v>
      </c>
      <c r="I49" s="60">
        <f t="shared" si="7"/>
        <v>5412.1681279748309</v>
      </c>
      <c r="J49" s="41">
        <f>I49/I136</f>
        <v>8.5705743003414211E-3</v>
      </c>
    </row>
    <row r="50" spans="1:10" ht="45" x14ac:dyDescent="0.25">
      <c r="A50" s="40" t="s">
        <v>236</v>
      </c>
      <c r="B50" s="40">
        <v>94572</v>
      </c>
      <c r="C50" s="40" t="s">
        <v>44</v>
      </c>
      <c r="D50" s="71" t="s">
        <v>53</v>
      </c>
      <c r="E50" s="40" t="s">
        <v>160</v>
      </c>
      <c r="F50" s="40">
        <v>7</v>
      </c>
      <c r="G50" s="60">
        <v>325.63</v>
      </c>
      <c r="H50" s="60">
        <f>H4*G50+G50</f>
        <v>411.0758321310982</v>
      </c>
      <c r="I50" s="60">
        <f t="shared" si="7"/>
        <v>2877.5308249176874</v>
      </c>
      <c r="J50" s="41">
        <f>I50/I136</f>
        <v>4.5567859595869653E-3</v>
      </c>
    </row>
    <row r="51" spans="1:10" ht="36" x14ac:dyDescent="0.25">
      <c r="A51" s="40" t="s">
        <v>237</v>
      </c>
      <c r="B51" s="40">
        <v>100674</v>
      </c>
      <c r="C51" s="40" t="s">
        <v>44</v>
      </c>
      <c r="D51" s="71" t="s">
        <v>55</v>
      </c>
      <c r="E51" s="40" t="s">
        <v>160</v>
      </c>
      <c r="F51" s="40">
        <v>2</v>
      </c>
      <c r="G51" s="60">
        <v>468.89</v>
      </c>
      <c r="H51" s="60">
        <f>H4*G51+G51</f>
        <v>591.92748496130775</v>
      </c>
      <c r="I51" s="60">
        <f t="shared" si="7"/>
        <v>1183.8549699226155</v>
      </c>
      <c r="J51" s="41">
        <f>I51/I136</f>
        <v>1.8747231683556116E-3</v>
      </c>
    </row>
    <row r="52" spans="1:10" ht="18" x14ac:dyDescent="0.25">
      <c r="A52" s="40" t="s">
        <v>238</v>
      </c>
      <c r="B52" s="40">
        <v>10507</v>
      </c>
      <c r="C52" s="40" t="s">
        <v>44</v>
      </c>
      <c r="D52" s="71" t="s">
        <v>229</v>
      </c>
      <c r="E52" s="40" t="s">
        <v>147</v>
      </c>
      <c r="F52" s="68">
        <f>27.69*1.1</f>
        <v>30.459000000000003</v>
      </c>
      <c r="G52" s="60">
        <v>373.52</v>
      </c>
      <c r="H52" s="60">
        <f>H4*G52+G52</f>
        <v>471.53224462613332</v>
      </c>
      <c r="I52" s="60">
        <f t="shared" si="7"/>
        <v>14362.400639067397</v>
      </c>
      <c r="J52" s="41">
        <f>I52/I136</f>
        <v>2.2743939008867883E-2</v>
      </c>
    </row>
    <row r="53" spans="1:10" ht="14.25" customHeight="1" x14ac:dyDescent="0.25">
      <c r="A53" s="127" t="s">
        <v>293</v>
      </c>
      <c r="B53" s="128"/>
      <c r="C53" s="128"/>
      <c r="D53" s="128"/>
      <c r="E53" s="128"/>
      <c r="F53" s="128"/>
      <c r="G53" s="128"/>
      <c r="H53" s="129"/>
      <c r="I53" s="66">
        <f>SUM(I47:I52)</f>
        <v>40890.368940702276</v>
      </c>
      <c r="J53" s="54">
        <f>SUM(J47:J52)</f>
        <v>6.4752967182081539E-2</v>
      </c>
    </row>
    <row r="54" spans="1:10" x14ac:dyDescent="0.25">
      <c r="A54" s="67">
        <v>8</v>
      </c>
      <c r="B54" s="45"/>
      <c r="C54" s="45"/>
      <c r="D54" s="55" t="s">
        <v>27</v>
      </c>
      <c r="E54" s="45"/>
      <c r="F54" s="45"/>
      <c r="G54" s="45"/>
      <c r="H54" s="45"/>
      <c r="I54" s="45"/>
      <c r="J54" s="45"/>
    </row>
    <row r="55" spans="1:10" ht="39.75" customHeight="1" x14ac:dyDescent="0.25">
      <c r="A55" s="40" t="s">
        <v>103</v>
      </c>
      <c r="B55" s="40">
        <v>92541</v>
      </c>
      <c r="C55" s="40" t="s">
        <v>44</v>
      </c>
      <c r="D55" s="71" t="s">
        <v>56</v>
      </c>
      <c r="E55" s="40" t="s">
        <v>147</v>
      </c>
      <c r="F55" s="68">
        <f>'MEMÓRIA DE CÁLCULO'!C282</f>
        <v>396.70799999999997</v>
      </c>
      <c r="G55" s="60">
        <v>67.400000000000006</v>
      </c>
      <c r="H55" s="60">
        <f>H4*G55+G55</f>
        <v>85.085867658495914</v>
      </c>
      <c r="I55" s="60">
        <f>F55*H55</f>
        <v>33754.244387066596</v>
      </c>
      <c r="J55" s="41">
        <f>I55/I136</f>
        <v>5.3452378534937846E-2</v>
      </c>
    </row>
    <row r="56" spans="1:10" ht="27" x14ac:dyDescent="0.25">
      <c r="A56" s="40" t="s">
        <v>104</v>
      </c>
      <c r="B56" s="40">
        <v>94440</v>
      </c>
      <c r="C56" s="40" t="s">
        <v>44</v>
      </c>
      <c r="D56" s="71" t="s">
        <v>57</v>
      </c>
      <c r="E56" s="40" t="s">
        <v>147</v>
      </c>
      <c r="F56" s="68">
        <f>'MEMÓRIA DE CÁLCULO'!C292</f>
        <v>396.70799999999997</v>
      </c>
      <c r="G56" s="60">
        <v>24.85</v>
      </c>
      <c r="H56" s="60">
        <f>$H$4*G56+G56</f>
        <v>31.370679693080461</v>
      </c>
      <c r="I56" s="60">
        <f>F56*H56</f>
        <v>12444.999599682562</v>
      </c>
      <c r="J56" s="41">
        <f>I56/$I$136</f>
        <v>1.9707590602273072E-2</v>
      </c>
    </row>
    <row r="57" spans="1:10" ht="13.5" customHeight="1" x14ac:dyDescent="0.25">
      <c r="A57" s="127" t="s">
        <v>294</v>
      </c>
      <c r="B57" s="128"/>
      <c r="C57" s="128"/>
      <c r="D57" s="128"/>
      <c r="E57" s="128"/>
      <c r="F57" s="128"/>
      <c r="G57" s="128"/>
      <c r="H57" s="129"/>
      <c r="I57" s="66">
        <f>SUM(I55:I56)</f>
        <v>46199.243986749156</v>
      </c>
      <c r="J57" s="54">
        <f>SUM(J55:J56)</f>
        <v>7.3159969137210915E-2</v>
      </c>
    </row>
    <row r="58" spans="1:10" x14ac:dyDescent="0.25">
      <c r="A58" s="67">
        <v>9</v>
      </c>
      <c r="B58" s="45"/>
      <c r="C58" s="45"/>
      <c r="D58" s="55" t="s">
        <v>302</v>
      </c>
      <c r="E58" s="45"/>
      <c r="F58" s="45"/>
      <c r="G58" s="45"/>
      <c r="H58" s="45"/>
      <c r="I58" s="45"/>
      <c r="J58" s="45"/>
    </row>
    <row r="59" spans="1:10" x14ac:dyDescent="0.25">
      <c r="A59" s="73" t="s">
        <v>128</v>
      </c>
      <c r="B59" s="40"/>
      <c r="C59" s="40"/>
      <c r="D59" s="55" t="s">
        <v>29</v>
      </c>
      <c r="E59" s="40"/>
      <c r="F59" s="40"/>
      <c r="G59" s="40"/>
      <c r="H59" s="40"/>
      <c r="I59" s="40"/>
      <c r="J59" s="40"/>
    </row>
    <row r="60" spans="1:10" ht="45" x14ac:dyDescent="0.25">
      <c r="A60" s="40" t="s">
        <v>239</v>
      </c>
      <c r="B60" s="40">
        <v>94648</v>
      </c>
      <c r="C60" s="40" t="s">
        <v>44</v>
      </c>
      <c r="D60" s="71" t="s">
        <v>58</v>
      </c>
      <c r="E60" s="40" t="s">
        <v>161</v>
      </c>
      <c r="F60" s="40">
        <v>80</v>
      </c>
      <c r="G60" s="60">
        <v>9.26</v>
      </c>
      <c r="H60" s="60">
        <f>H4*G60+G60</f>
        <v>11.689838791063384</v>
      </c>
      <c r="I60" s="60">
        <f>F60*H60</f>
        <v>935.18710328507063</v>
      </c>
      <c r="J60" s="41">
        <f>I60/I136</f>
        <v>1.4809389442276835E-3</v>
      </c>
    </row>
    <row r="61" spans="1:10" ht="45" x14ac:dyDescent="0.25">
      <c r="A61" s="40" t="s">
        <v>240</v>
      </c>
      <c r="B61" s="40">
        <v>94650</v>
      </c>
      <c r="C61" s="40" t="s">
        <v>44</v>
      </c>
      <c r="D61" s="71" t="s">
        <v>60</v>
      </c>
      <c r="E61" s="40" t="s">
        <v>161</v>
      </c>
      <c r="F61" s="40">
        <v>10</v>
      </c>
      <c r="G61" s="60">
        <v>21</v>
      </c>
      <c r="H61" s="60">
        <f>H4*G61+G61</f>
        <v>26.510433543448279</v>
      </c>
      <c r="I61" s="60">
        <f>F61*H61</f>
        <v>265.10433543448278</v>
      </c>
      <c r="J61" s="41">
        <f>I61/I136</f>
        <v>4.1981260568009385E-4</v>
      </c>
    </row>
    <row r="62" spans="1:10" ht="36" x14ac:dyDescent="0.25">
      <c r="A62" s="40" t="s">
        <v>241</v>
      </c>
      <c r="B62" s="40">
        <v>94792</v>
      </c>
      <c r="C62" s="40" t="s">
        <v>44</v>
      </c>
      <c r="D62" s="71" t="s">
        <v>59</v>
      </c>
      <c r="E62" s="40" t="s">
        <v>160</v>
      </c>
      <c r="F62" s="40">
        <v>6</v>
      </c>
      <c r="G62" s="60">
        <v>107.72</v>
      </c>
      <c r="H62" s="60">
        <f>H4*G62+G62</f>
        <v>135.9859000619166</v>
      </c>
      <c r="I62" s="60">
        <f>F62*H62</f>
        <v>815.91540037149957</v>
      </c>
      <c r="J62" s="41">
        <f>I62/I136</f>
        <v>1.2920632538245631E-3</v>
      </c>
    </row>
    <row r="63" spans="1:10" ht="27" x14ac:dyDescent="0.25">
      <c r="A63" s="40" t="s">
        <v>312</v>
      </c>
      <c r="B63" s="40">
        <v>89355</v>
      </c>
      <c r="C63" s="40" t="s">
        <v>44</v>
      </c>
      <c r="D63" s="71" t="s">
        <v>314</v>
      </c>
      <c r="E63" s="40" t="s">
        <v>161</v>
      </c>
      <c r="F63" s="40">
        <v>50</v>
      </c>
      <c r="G63" s="60">
        <v>15.42</v>
      </c>
      <c r="H63" s="60">
        <f>H4*G63+G63</f>
        <v>19.466232630474877</v>
      </c>
      <c r="I63" s="60">
        <f>H63*F63</f>
        <v>973.31163152374393</v>
      </c>
      <c r="J63" s="41">
        <f>I63/I136</f>
        <v>1.5413119951397732E-3</v>
      </c>
    </row>
    <row r="64" spans="1:10" ht="27" x14ac:dyDescent="0.25">
      <c r="A64" s="40" t="s">
        <v>313</v>
      </c>
      <c r="B64" s="40">
        <v>89357</v>
      </c>
      <c r="C64" s="40" t="s">
        <v>44</v>
      </c>
      <c r="D64" s="71" t="s">
        <v>315</v>
      </c>
      <c r="E64" s="40" t="s">
        <v>161</v>
      </c>
      <c r="F64" s="40">
        <v>25</v>
      </c>
      <c r="G64" s="60">
        <v>26.45</v>
      </c>
      <c r="H64" s="60">
        <f>H4*G64+G64</f>
        <v>33.390522248771759</v>
      </c>
      <c r="I64" s="60">
        <f>H64*F64</f>
        <v>834.76305621929396</v>
      </c>
      <c r="J64" s="41">
        <f>I64/I136</f>
        <v>1.3219099309807717E-3</v>
      </c>
    </row>
    <row r="65" spans="1:10" x14ac:dyDescent="0.25">
      <c r="A65" s="127" t="s">
        <v>276</v>
      </c>
      <c r="B65" s="128"/>
      <c r="C65" s="128"/>
      <c r="D65" s="128"/>
      <c r="E65" s="128"/>
      <c r="F65" s="128"/>
      <c r="G65" s="128"/>
      <c r="H65" s="129"/>
      <c r="I65" s="66">
        <f>SUM(I60:I64)</f>
        <v>3824.2815268340905</v>
      </c>
      <c r="J65" s="54">
        <f>SUM(J60:J64)</f>
        <v>6.0560367298528855E-3</v>
      </c>
    </row>
    <row r="66" spans="1:10" x14ac:dyDescent="0.25">
      <c r="A66" s="73" t="s">
        <v>129</v>
      </c>
      <c r="B66" s="40"/>
      <c r="C66" s="40"/>
      <c r="D66" s="55" t="s">
        <v>30</v>
      </c>
      <c r="E66" s="40"/>
      <c r="F66" s="40"/>
      <c r="G66" s="60"/>
      <c r="H66" s="60"/>
      <c r="I66" s="60"/>
      <c r="J66" s="40"/>
    </row>
    <row r="67" spans="1:10" ht="45" x14ac:dyDescent="0.25">
      <c r="A67" s="40" t="s">
        <v>242</v>
      </c>
      <c r="B67" s="40">
        <v>94650</v>
      </c>
      <c r="C67" s="40" t="s">
        <v>44</v>
      </c>
      <c r="D67" s="71" t="s">
        <v>60</v>
      </c>
      <c r="E67" s="40" t="s">
        <v>161</v>
      </c>
      <c r="F67" s="40">
        <v>36</v>
      </c>
      <c r="G67" s="60">
        <v>21</v>
      </c>
      <c r="H67" s="60">
        <f>H4*G67+G67</f>
        <v>26.510433543448279</v>
      </c>
      <c r="I67" s="60">
        <f t="shared" ref="I67:I74" si="8">F67*H67</f>
        <v>954.37560756413802</v>
      </c>
      <c r="J67" s="41">
        <f>I67/I136</f>
        <v>1.511325380448338E-3</v>
      </c>
    </row>
    <row r="68" spans="1:10" ht="45" x14ac:dyDescent="0.25">
      <c r="A68" s="40" t="s">
        <v>243</v>
      </c>
      <c r="B68" s="40">
        <v>94651</v>
      </c>
      <c r="C68" s="40" t="s">
        <v>44</v>
      </c>
      <c r="D68" s="71" t="s">
        <v>61</v>
      </c>
      <c r="E68" s="40" t="s">
        <v>161</v>
      </c>
      <c r="F68" s="40">
        <v>94</v>
      </c>
      <c r="G68" s="60">
        <v>23.04</v>
      </c>
      <c r="H68" s="60">
        <f>H4*G68+G68</f>
        <v>29.085732801954681</v>
      </c>
      <c r="I68" s="60">
        <f t="shared" si="8"/>
        <v>2734.0588833837401</v>
      </c>
      <c r="J68" s="41">
        <f>I68/I136</f>
        <v>4.3295873756081906E-3</v>
      </c>
    </row>
    <row r="69" spans="1:10" ht="45" x14ac:dyDescent="0.25">
      <c r="A69" s="40" t="s">
        <v>244</v>
      </c>
      <c r="B69" s="40">
        <v>94653</v>
      </c>
      <c r="C69" s="40" t="s">
        <v>44</v>
      </c>
      <c r="D69" s="71" t="s">
        <v>62</v>
      </c>
      <c r="E69" s="40" t="s">
        <v>161</v>
      </c>
      <c r="F69" s="40">
        <v>36</v>
      </c>
      <c r="G69" s="60">
        <v>55.12</v>
      </c>
      <c r="H69" s="60">
        <f>H4*G69+G69</f>
        <v>69.583576043565188</v>
      </c>
      <c r="I69" s="60">
        <f t="shared" si="8"/>
        <v>2505.008737568347</v>
      </c>
      <c r="J69" s="41">
        <f>I69/I136</f>
        <v>3.9668692843005896E-3</v>
      </c>
    </row>
    <row r="70" spans="1:10" ht="45" x14ac:dyDescent="0.25">
      <c r="A70" s="40" t="s">
        <v>245</v>
      </c>
      <c r="B70" s="40">
        <v>94655</v>
      </c>
      <c r="C70" s="40" t="s">
        <v>44</v>
      </c>
      <c r="D70" s="71" t="s">
        <v>216</v>
      </c>
      <c r="E70" s="40" t="s">
        <v>161</v>
      </c>
      <c r="F70" s="40">
        <v>18</v>
      </c>
      <c r="G70" s="60">
        <v>103.31</v>
      </c>
      <c r="H70" s="60">
        <f>H4*G70+G70</f>
        <v>130.41870901779245</v>
      </c>
      <c r="I70" s="60">
        <f t="shared" si="8"/>
        <v>2347.5367623202642</v>
      </c>
      <c r="J70" s="41">
        <f>I70/I136</f>
        <v>3.717500596526614E-3</v>
      </c>
    </row>
    <row r="71" spans="1:10" ht="45" x14ac:dyDescent="0.25">
      <c r="A71" s="40" t="s">
        <v>246</v>
      </c>
      <c r="B71" s="40">
        <v>98105</v>
      </c>
      <c r="C71" s="40" t="s">
        <v>44</v>
      </c>
      <c r="D71" s="71" t="s">
        <v>63</v>
      </c>
      <c r="E71" s="40" t="s">
        <v>160</v>
      </c>
      <c r="F71" s="40">
        <v>3</v>
      </c>
      <c r="G71" s="60">
        <v>666.24</v>
      </c>
      <c r="H71" s="60">
        <f>H4*G71+G71</f>
        <v>841.06244018985626</v>
      </c>
      <c r="I71" s="60">
        <f t="shared" si="8"/>
        <v>2523.1873205695688</v>
      </c>
      <c r="J71" s="41">
        <f>I71/I136</f>
        <v>3.9956564344043677E-3</v>
      </c>
    </row>
    <row r="72" spans="1:10" ht="27" x14ac:dyDescent="0.25">
      <c r="A72" s="40" t="s">
        <v>247</v>
      </c>
      <c r="B72" s="40">
        <v>34643</v>
      </c>
      <c r="C72" s="40" t="s">
        <v>44</v>
      </c>
      <c r="D72" s="74" t="s">
        <v>64</v>
      </c>
      <c r="E72" s="40" t="s">
        <v>160</v>
      </c>
      <c r="F72" s="40">
        <v>2</v>
      </c>
      <c r="G72" s="60">
        <v>39.47</v>
      </c>
      <c r="H72" s="60">
        <f>H4*G72+G72</f>
        <v>49.82699104570969</v>
      </c>
      <c r="I72" s="60">
        <f t="shared" si="8"/>
        <v>99.65398209141938</v>
      </c>
      <c r="J72" s="41">
        <f>I72/I136</f>
        <v>1.5780955758279338E-4</v>
      </c>
    </row>
    <row r="73" spans="1:10" ht="39" customHeight="1" x14ac:dyDescent="0.25">
      <c r="A73" s="40" t="s">
        <v>248</v>
      </c>
      <c r="B73" s="40">
        <v>89707</v>
      </c>
      <c r="C73" s="40" t="s">
        <v>44</v>
      </c>
      <c r="D73" s="71" t="s">
        <v>65</v>
      </c>
      <c r="E73" s="40" t="s">
        <v>160</v>
      </c>
      <c r="F73" s="40">
        <v>5</v>
      </c>
      <c r="G73" s="60">
        <v>35.81</v>
      </c>
      <c r="H73" s="60">
        <f>H4*G73+G73</f>
        <v>45.206601199565853</v>
      </c>
      <c r="I73" s="60">
        <f t="shared" si="8"/>
        <v>226.03300599782926</v>
      </c>
      <c r="J73" s="41">
        <f>I73/I136</f>
        <v>3.5794022403343244E-4</v>
      </c>
    </row>
    <row r="74" spans="1:10" ht="36" x14ac:dyDescent="0.25">
      <c r="A74" s="40" t="s">
        <v>249</v>
      </c>
      <c r="B74" s="40">
        <v>89709</v>
      </c>
      <c r="C74" s="40" t="s">
        <v>44</v>
      </c>
      <c r="D74" s="71" t="s">
        <v>66</v>
      </c>
      <c r="E74" s="40" t="s">
        <v>160</v>
      </c>
      <c r="F74" s="40">
        <v>12</v>
      </c>
      <c r="G74" s="60">
        <v>14.25</v>
      </c>
      <c r="H74" s="60">
        <f>H4*G74+G74</f>
        <v>17.989222761625616</v>
      </c>
      <c r="I74" s="60">
        <f t="shared" si="8"/>
        <v>215.8706731395074</v>
      </c>
      <c r="J74" s="41">
        <f>I74/I136</f>
        <v>3.4184740748236214E-4</v>
      </c>
    </row>
    <row r="75" spans="1:10" ht="14.25" customHeight="1" x14ac:dyDescent="0.25">
      <c r="A75" s="127" t="s">
        <v>277</v>
      </c>
      <c r="B75" s="128"/>
      <c r="C75" s="128"/>
      <c r="D75" s="128"/>
      <c r="E75" s="128"/>
      <c r="F75" s="128"/>
      <c r="G75" s="128"/>
      <c r="H75" s="129"/>
      <c r="I75" s="66">
        <f>SUM(I67:I74)</f>
        <v>11605.724972634813</v>
      </c>
      <c r="J75" s="54">
        <f>SUM(J67:J74)</f>
        <v>1.8378536260386689E-2</v>
      </c>
    </row>
    <row r="76" spans="1:10" x14ac:dyDescent="0.25">
      <c r="A76" s="73" t="s">
        <v>130</v>
      </c>
      <c r="B76" s="40"/>
      <c r="C76" s="40"/>
      <c r="D76" s="55" t="s">
        <v>67</v>
      </c>
      <c r="E76" s="40"/>
      <c r="F76" s="40"/>
      <c r="G76" s="60"/>
      <c r="H76" s="60"/>
      <c r="I76" s="60"/>
      <c r="J76" s="40"/>
    </row>
    <row r="77" spans="1:10" ht="27" x14ac:dyDescent="0.25">
      <c r="A77" s="40" t="s">
        <v>250</v>
      </c>
      <c r="B77" s="40">
        <v>94227</v>
      </c>
      <c r="C77" s="40" t="s">
        <v>44</v>
      </c>
      <c r="D77" s="71" t="s">
        <v>68</v>
      </c>
      <c r="E77" s="40" t="s">
        <v>161</v>
      </c>
      <c r="F77" s="68">
        <v>37</v>
      </c>
      <c r="G77" s="60">
        <v>62.35</v>
      </c>
      <c r="H77" s="60">
        <f>$H$4*G77+G77</f>
        <v>78.710739592095251</v>
      </c>
      <c r="I77" s="60">
        <f>F77*H77</f>
        <v>2912.2973649075243</v>
      </c>
      <c r="J77" s="41">
        <f>I77/$I$136</f>
        <v>4.6118413841604415E-3</v>
      </c>
    </row>
    <row r="78" spans="1:10" ht="38.25" customHeight="1" x14ac:dyDescent="0.25">
      <c r="A78" s="40" t="s">
        <v>251</v>
      </c>
      <c r="B78" s="40">
        <v>90694</v>
      </c>
      <c r="C78" s="40" t="s">
        <v>44</v>
      </c>
      <c r="D78" s="71" t="s">
        <v>323</v>
      </c>
      <c r="E78" s="40" t="s">
        <v>161</v>
      </c>
      <c r="F78" s="40">
        <f>12*6</f>
        <v>72</v>
      </c>
      <c r="G78" s="60">
        <v>45.15</v>
      </c>
      <c r="H78" s="60">
        <f>H4*G78+G78</f>
        <v>56.997432118413798</v>
      </c>
      <c r="I78" s="60">
        <f t="shared" ref="I78:I85" si="9">F78*H78</f>
        <v>4103.8151125257937</v>
      </c>
      <c r="J78" s="41">
        <f>I78/$I$136</f>
        <v>6.4986991359278533E-3</v>
      </c>
    </row>
    <row r="79" spans="1:10" ht="15" customHeight="1" x14ac:dyDescent="0.25">
      <c r="A79" s="127" t="s">
        <v>278</v>
      </c>
      <c r="B79" s="128"/>
      <c r="C79" s="128"/>
      <c r="D79" s="128"/>
      <c r="E79" s="128"/>
      <c r="F79" s="128"/>
      <c r="G79" s="128"/>
      <c r="H79" s="129"/>
      <c r="I79" s="66">
        <f>SUM(I77:I78)</f>
        <v>7016.1124774333184</v>
      </c>
      <c r="J79" s="54">
        <f>SUM(J77:J78)</f>
        <v>1.1110540520088294E-2</v>
      </c>
    </row>
    <row r="80" spans="1:10" x14ac:dyDescent="0.25">
      <c r="A80" s="73" t="s">
        <v>131</v>
      </c>
      <c r="B80" s="40"/>
      <c r="C80" s="40"/>
      <c r="D80" s="55" t="s">
        <v>31</v>
      </c>
      <c r="E80" s="40"/>
      <c r="F80" s="40"/>
      <c r="G80" s="60"/>
      <c r="H80" s="60"/>
      <c r="I80" s="60"/>
      <c r="J80" s="40"/>
    </row>
    <row r="81" spans="1:10" ht="37.5" customHeight="1" x14ac:dyDescent="0.25">
      <c r="A81" s="40" t="s">
        <v>252</v>
      </c>
      <c r="B81" s="40">
        <v>86931</v>
      </c>
      <c r="C81" s="40" t="s">
        <v>44</v>
      </c>
      <c r="D81" s="74" t="s">
        <v>69</v>
      </c>
      <c r="E81" s="40" t="s">
        <v>160</v>
      </c>
      <c r="F81" s="40">
        <v>7</v>
      </c>
      <c r="G81" s="60">
        <v>283.52</v>
      </c>
      <c r="H81" s="60">
        <f>H4*G81+G81</f>
        <v>357.91610086849789</v>
      </c>
      <c r="I81" s="60">
        <f t="shared" si="9"/>
        <v>2505.4127060794854</v>
      </c>
      <c r="J81" s="41">
        <f>I81/I136</f>
        <v>3.9675089987473407E-3</v>
      </c>
    </row>
    <row r="82" spans="1:10" ht="63" x14ac:dyDescent="0.25">
      <c r="A82" s="40" t="s">
        <v>253</v>
      </c>
      <c r="B82" s="40">
        <v>86941</v>
      </c>
      <c r="C82" s="40" t="s">
        <v>44</v>
      </c>
      <c r="D82" s="71" t="s">
        <v>70</v>
      </c>
      <c r="E82" s="40" t="s">
        <v>160</v>
      </c>
      <c r="F82" s="40">
        <v>15</v>
      </c>
      <c r="G82" s="60">
        <v>665.42</v>
      </c>
      <c r="H82" s="60">
        <f>H4*G82+G82</f>
        <v>840.02727088006441</v>
      </c>
      <c r="I82" s="60">
        <f t="shared" si="9"/>
        <v>12600.409063200967</v>
      </c>
      <c r="J82" s="41">
        <f>I82/I136</f>
        <v>1.9953693147974863E-2</v>
      </c>
    </row>
    <row r="83" spans="1:10" ht="18" x14ac:dyDescent="0.25">
      <c r="A83" s="40" t="s">
        <v>254</v>
      </c>
      <c r="B83" s="40">
        <v>95545</v>
      </c>
      <c r="C83" s="40" t="s">
        <v>44</v>
      </c>
      <c r="D83" s="71" t="s">
        <v>71</v>
      </c>
      <c r="E83" s="40" t="s">
        <v>160</v>
      </c>
      <c r="F83" s="40">
        <v>15</v>
      </c>
      <c r="G83" s="60">
        <v>31.44</v>
      </c>
      <c r="H83" s="60">
        <f>H4*G83+G83</f>
        <v>39.689906219333992</v>
      </c>
      <c r="I83" s="60">
        <f t="shared" si="9"/>
        <v>595.34859329000983</v>
      </c>
      <c r="J83" s="41">
        <f>I83/I136</f>
        <v>9.4277916589872502E-4</v>
      </c>
    </row>
    <row r="84" spans="1:10" ht="25.5" customHeight="1" x14ac:dyDescent="0.25">
      <c r="A84" s="40" t="s">
        <v>255</v>
      </c>
      <c r="B84" s="40">
        <v>95544</v>
      </c>
      <c r="C84" s="40" t="s">
        <v>44</v>
      </c>
      <c r="D84" s="71" t="s">
        <v>72</v>
      </c>
      <c r="E84" s="40" t="s">
        <v>160</v>
      </c>
      <c r="F84" s="40">
        <v>7</v>
      </c>
      <c r="G84" s="60">
        <v>37.93</v>
      </c>
      <c r="H84" s="60">
        <f>H4*G84+G84</f>
        <v>47.882892585856816</v>
      </c>
      <c r="I84" s="60">
        <f t="shared" si="9"/>
        <v>335.18024810099769</v>
      </c>
      <c r="J84" s="41">
        <f>I84/I136</f>
        <v>5.3078307111486525E-4</v>
      </c>
    </row>
    <row r="85" spans="1:10" ht="27" x14ac:dyDescent="0.25">
      <c r="A85" s="40" t="s">
        <v>256</v>
      </c>
      <c r="B85" s="40">
        <v>86915</v>
      </c>
      <c r="C85" s="40" t="s">
        <v>44</v>
      </c>
      <c r="D85" s="71" t="s">
        <v>73</v>
      </c>
      <c r="E85" s="40" t="s">
        <v>160</v>
      </c>
      <c r="F85" s="40">
        <v>17</v>
      </c>
      <c r="G85" s="60">
        <v>100.1</v>
      </c>
      <c r="H85" s="60">
        <f>H4*G85+G85</f>
        <v>126.36639989043678</v>
      </c>
      <c r="I85" s="60">
        <f t="shared" si="9"/>
        <v>2148.2287981374252</v>
      </c>
      <c r="J85" s="41">
        <f>I85/I136</f>
        <v>3.4018814813610268E-3</v>
      </c>
    </row>
    <row r="86" spans="1:10" ht="15" customHeight="1" x14ac:dyDescent="0.25">
      <c r="A86" s="127" t="s">
        <v>279</v>
      </c>
      <c r="B86" s="128"/>
      <c r="C86" s="128"/>
      <c r="D86" s="128"/>
      <c r="E86" s="128"/>
      <c r="F86" s="128"/>
      <c r="G86" s="128"/>
      <c r="H86" s="129"/>
      <c r="I86" s="66">
        <f>SUM(I81:I85)</f>
        <v>18184.579408808884</v>
      </c>
      <c r="J86" s="54">
        <f>SUM(J81:J85)</f>
        <v>2.879664586509682E-2</v>
      </c>
    </row>
    <row r="87" spans="1:10" ht="13.5" customHeight="1" x14ac:dyDescent="0.25">
      <c r="A87" s="148" t="s">
        <v>280</v>
      </c>
      <c r="B87" s="149"/>
      <c r="C87" s="149"/>
      <c r="D87" s="149"/>
      <c r="E87" s="149"/>
      <c r="F87" s="149"/>
      <c r="G87" s="149"/>
      <c r="H87" s="150"/>
      <c r="I87" s="66">
        <f>SUM(I86,I79,I75,I65)</f>
        <v>40630.698385711104</v>
      </c>
      <c r="J87" s="54">
        <f>SUM(J86,J79,J75,J65)</f>
        <v>6.434175937542469E-2</v>
      </c>
    </row>
    <row r="88" spans="1:10" x14ac:dyDescent="0.25">
      <c r="A88" s="67">
        <v>10</v>
      </c>
      <c r="B88" s="45"/>
      <c r="C88" s="45"/>
      <c r="D88" s="55" t="s">
        <v>32</v>
      </c>
      <c r="E88" s="45"/>
      <c r="F88" s="45"/>
      <c r="G88" s="45"/>
      <c r="H88" s="45"/>
      <c r="I88" s="45"/>
      <c r="J88" s="45"/>
    </row>
    <row r="89" spans="1:10" ht="45" x14ac:dyDescent="0.25">
      <c r="A89" s="40" t="s">
        <v>132</v>
      </c>
      <c r="B89" s="40">
        <v>101875</v>
      </c>
      <c r="C89" s="40" t="s">
        <v>44</v>
      </c>
      <c r="D89" s="74" t="s">
        <v>74</v>
      </c>
      <c r="E89" s="40" t="s">
        <v>160</v>
      </c>
      <c r="F89" s="40">
        <v>1</v>
      </c>
      <c r="G89" s="60">
        <v>448.57</v>
      </c>
      <c r="H89" s="60">
        <f>H4*G89+G89</f>
        <v>566.27548450402821</v>
      </c>
      <c r="I89" s="60">
        <f t="shared" ref="I89:I102" si="10">F89*H89</f>
        <v>566.27548450402821</v>
      </c>
      <c r="J89" s="41">
        <f>I89/I136</f>
        <v>8.9673971680914136E-4</v>
      </c>
    </row>
    <row r="90" spans="1:10" ht="27" x14ac:dyDescent="0.25">
      <c r="A90" s="40" t="s">
        <v>133</v>
      </c>
      <c r="B90" s="40">
        <v>91953</v>
      </c>
      <c r="C90" s="40" t="s">
        <v>44</v>
      </c>
      <c r="D90" s="71" t="s">
        <v>75</v>
      </c>
      <c r="E90" s="40" t="s">
        <v>160</v>
      </c>
      <c r="F90" s="40">
        <v>7</v>
      </c>
      <c r="G90" s="60">
        <v>22.55</v>
      </c>
      <c r="H90" s="60">
        <f>H4*G90+G90</f>
        <v>28.467156019274221</v>
      </c>
      <c r="I90" s="60">
        <f t="shared" si="10"/>
        <v>199.27009213491954</v>
      </c>
      <c r="J90" s="41">
        <f>I90/I136</f>
        <v>3.1555914193620387E-4</v>
      </c>
    </row>
    <row r="91" spans="1:10" ht="27" x14ac:dyDescent="0.25">
      <c r="A91" s="40" t="s">
        <v>134</v>
      </c>
      <c r="B91" s="40">
        <v>91959</v>
      </c>
      <c r="C91" s="40" t="s">
        <v>44</v>
      </c>
      <c r="D91" s="71" t="s">
        <v>86</v>
      </c>
      <c r="E91" s="40" t="s">
        <v>160</v>
      </c>
      <c r="F91" s="40">
        <v>9</v>
      </c>
      <c r="G91" s="60">
        <v>35.74</v>
      </c>
      <c r="H91" s="60">
        <f>H4*G91+G91</f>
        <v>45.118233087754355</v>
      </c>
      <c r="I91" s="60">
        <f t="shared" si="10"/>
        <v>406.06409778978917</v>
      </c>
      <c r="J91" s="41">
        <f>I91/I136</f>
        <v>6.4303296544313807E-4</v>
      </c>
    </row>
    <row r="92" spans="1:10" ht="36" x14ac:dyDescent="0.25">
      <c r="A92" s="40" t="s">
        <v>135</v>
      </c>
      <c r="B92" s="40">
        <v>97593</v>
      </c>
      <c r="C92" s="40" t="s">
        <v>44</v>
      </c>
      <c r="D92" s="71" t="s">
        <v>76</v>
      </c>
      <c r="E92" s="40" t="s">
        <v>160</v>
      </c>
      <c r="F92" s="40">
        <v>12</v>
      </c>
      <c r="G92" s="60">
        <v>7.77</v>
      </c>
      <c r="H92" s="60">
        <f>H4*G92+G92</f>
        <v>9.8088604110758624</v>
      </c>
      <c r="I92" s="60">
        <f t="shared" si="10"/>
        <v>117.70632493291035</v>
      </c>
      <c r="J92" s="41">
        <f>I92/I136</f>
        <v>1.8639679692196168E-4</v>
      </c>
    </row>
    <row r="93" spans="1:10" ht="36" x14ac:dyDescent="0.25">
      <c r="A93" s="40" t="s">
        <v>257</v>
      </c>
      <c r="B93" s="40">
        <v>97586</v>
      </c>
      <c r="C93" s="40" t="s">
        <v>44</v>
      </c>
      <c r="D93" s="71" t="s">
        <v>77</v>
      </c>
      <c r="E93" s="40" t="s">
        <v>160</v>
      </c>
      <c r="F93" s="40">
        <v>25</v>
      </c>
      <c r="G93" s="60">
        <v>12.96</v>
      </c>
      <c r="H93" s="60">
        <f>H4*G93+G93</f>
        <v>16.36072470109951</v>
      </c>
      <c r="I93" s="60">
        <f t="shared" si="10"/>
        <v>409.01811752748773</v>
      </c>
      <c r="J93" s="41">
        <f>I93/I136</f>
        <v>6.4771087733500197E-4</v>
      </c>
    </row>
    <row r="94" spans="1:10" ht="36" x14ac:dyDescent="0.25">
      <c r="A94" s="40" t="s">
        <v>258</v>
      </c>
      <c r="B94" s="40">
        <v>93141</v>
      </c>
      <c r="C94" s="40" t="s">
        <v>44</v>
      </c>
      <c r="D94" s="74" t="s">
        <v>78</v>
      </c>
      <c r="E94" s="40" t="s">
        <v>160</v>
      </c>
      <c r="F94" s="40">
        <v>10</v>
      </c>
      <c r="G94" s="60">
        <v>160.28</v>
      </c>
      <c r="H94" s="60">
        <f>H4*G94+G94</f>
        <v>202.33772801637571</v>
      </c>
      <c r="I94" s="60">
        <f t="shared" si="10"/>
        <v>2023.377280163757</v>
      </c>
      <c r="J94" s="41">
        <f>I94/I136</f>
        <v>3.204169735162164E-3</v>
      </c>
    </row>
    <row r="95" spans="1:10" ht="36" x14ac:dyDescent="0.25">
      <c r="A95" s="40" t="s">
        <v>259</v>
      </c>
      <c r="B95" s="40">
        <v>93143</v>
      </c>
      <c r="C95" s="40" t="s">
        <v>44</v>
      </c>
      <c r="D95" s="71" t="s">
        <v>79</v>
      </c>
      <c r="E95" s="40" t="s">
        <v>160</v>
      </c>
      <c r="F95" s="40">
        <v>17</v>
      </c>
      <c r="G95" s="60">
        <v>162.44999999999999</v>
      </c>
      <c r="H95" s="60">
        <f>H4*G95+G95</f>
        <v>205.077139482532</v>
      </c>
      <c r="I95" s="60">
        <f t="shared" si="10"/>
        <v>3486.311371203044</v>
      </c>
      <c r="J95" s="41">
        <f>I95/I136</f>
        <v>5.5208356308401475E-3</v>
      </c>
    </row>
    <row r="96" spans="1:10" ht="36" x14ac:dyDescent="0.25">
      <c r="A96" s="40" t="s">
        <v>260</v>
      </c>
      <c r="B96" s="40">
        <v>91844</v>
      </c>
      <c r="C96" s="40" t="s">
        <v>44</v>
      </c>
      <c r="D96" s="71" t="s">
        <v>80</v>
      </c>
      <c r="E96" s="40" t="s">
        <v>161</v>
      </c>
      <c r="F96" s="40">
        <v>15</v>
      </c>
      <c r="G96" s="60">
        <v>5.84</v>
      </c>
      <c r="H96" s="60">
        <f>H4*G96+G96</f>
        <v>7.372425328273235</v>
      </c>
      <c r="I96" s="60">
        <f t="shared" si="10"/>
        <v>110.58637992409852</v>
      </c>
      <c r="J96" s="41">
        <f>I96/I136</f>
        <v>1.7512182979798202E-4</v>
      </c>
    </row>
    <row r="97" spans="1:10" ht="36" x14ac:dyDescent="0.25">
      <c r="A97" s="40" t="s">
        <v>261</v>
      </c>
      <c r="B97" s="40">
        <v>91846</v>
      </c>
      <c r="C97" s="40" t="s">
        <v>44</v>
      </c>
      <c r="D97" s="71" t="s">
        <v>81</v>
      </c>
      <c r="E97" s="40" t="s">
        <v>161</v>
      </c>
      <c r="F97" s="40">
        <v>20</v>
      </c>
      <c r="G97" s="60">
        <v>8.3699999999999992</v>
      </c>
      <c r="H97" s="60">
        <f>H4*G97+G97</f>
        <v>10.566301369460097</v>
      </c>
      <c r="I97" s="60">
        <f t="shared" si="10"/>
        <v>211.32602738920195</v>
      </c>
      <c r="J97" s="41">
        <f>I97/I136</f>
        <v>3.3465061995641761E-4</v>
      </c>
    </row>
    <row r="98" spans="1:10" ht="36" x14ac:dyDescent="0.25">
      <c r="A98" s="40" t="s">
        <v>262</v>
      </c>
      <c r="B98" s="40">
        <v>91924</v>
      </c>
      <c r="C98" s="40" t="s">
        <v>44</v>
      </c>
      <c r="D98" s="71" t="s">
        <v>157</v>
      </c>
      <c r="E98" s="40" t="s">
        <v>161</v>
      </c>
      <c r="F98" s="40">
        <v>100</v>
      </c>
      <c r="G98" s="60">
        <v>2.86</v>
      </c>
      <c r="H98" s="60">
        <f>H4*G98+G98</f>
        <v>3.6104685682981938</v>
      </c>
      <c r="I98" s="60">
        <f t="shared" si="10"/>
        <v>361.04685682981938</v>
      </c>
      <c r="J98" s="41">
        <f>I98/I136</f>
        <v>5.717447867833659E-4</v>
      </c>
    </row>
    <row r="99" spans="1:10" ht="38.25" customHeight="1" x14ac:dyDescent="0.25">
      <c r="A99" s="40" t="s">
        <v>263</v>
      </c>
      <c r="B99" s="40">
        <v>91926</v>
      </c>
      <c r="C99" s="40" t="s">
        <v>44</v>
      </c>
      <c r="D99" s="71" t="s">
        <v>82</v>
      </c>
      <c r="E99" s="40" t="s">
        <v>161</v>
      </c>
      <c r="F99" s="40">
        <v>200</v>
      </c>
      <c r="G99" s="60">
        <v>4.2300000000000004</v>
      </c>
      <c r="H99" s="60">
        <f>H4*G99+G99</f>
        <v>5.3399587566088673</v>
      </c>
      <c r="I99" s="60">
        <f t="shared" si="10"/>
        <v>1067.9917513217736</v>
      </c>
      <c r="J99" s="41">
        <f>I99/I136</f>
        <v>1.6912450685969498E-3</v>
      </c>
    </row>
    <row r="100" spans="1:10" ht="38.25" customHeight="1" x14ac:dyDescent="0.25">
      <c r="A100" s="40" t="s">
        <v>264</v>
      </c>
      <c r="B100" s="40">
        <v>91932</v>
      </c>
      <c r="C100" s="40" t="s">
        <v>44</v>
      </c>
      <c r="D100" s="71" t="s">
        <v>83</v>
      </c>
      <c r="E100" s="40" t="s">
        <v>161</v>
      </c>
      <c r="F100" s="40">
        <v>150</v>
      </c>
      <c r="G100" s="60">
        <v>16.03</v>
      </c>
      <c r="H100" s="60">
        <f>$H$4*G100+G100</f>
        <v>20.236297604832188</v>
      </c>
      <c r="I100" s="60">
        <f t="shared" si="10"/>
        <v>3035.4446407248283</v>
      </c>
      <c r="J100" s="70">
        <f>I100/$I$136</f>
        <v>4.8068543350370755E-3</v>
      </c>
    </row>
    <row r="101" spans="1:10" ht="27" x14ac:dyDescent="0.25">
      <c r="A101" s="40" t="s">
        <v>325</v>
      </c>
      <c r="B101" s="40">
        <v>103250</v>
      </c>
      <c r="C101" s="40" t="s">
        <v>44</v>
      </c>
      <c r="D101" s="71" t="s">
        <v>324</v>
      </c>
      <c r="E101" s="40" t="s">
        <v>214</v>
      </c>
      <c r="F101" s="40">
        <v>6</v>
      </c>
      <c r="G101" s="60">
        <v>3373.21</v>
      </c>
      <c r="H101" s="60">
        <f>$H$4*G101+G101</f>
        <v>4258.3456920521503</v>
      </c>
      <c r="I101" s="60">
        <f t="shared" si="10"/>
        <v>25550.074152312904</v>
      </c>
      <c r="J101" s="70">
        <f>I101/$I$136</f>
        <v>4.0460459417318552E-2</v>
      </c>
    </row>
    <row r="102" spans="1:10" ht="38.25" customHeight="1" x14ac:dyDescent="0.25">
      <c r="A102" s="40" t="s">
        <v>328</v>
      </c>
      <c r="B102" s="40">
        <v>103244</v>
      </c>
      <c r="C102" s="40" t="s">
        <v>44</v>
      </c>
      <c r="D102" s="71" t="s">
        <v>327</v>
      </c>
      <c r="E102" s="40" t="s">
        <v>214</v>
      </c>
      <c r="F102" s="76">
        <v>1</v>
      </c>
      <c r="G102" s="60">
        <v>2092.9499999999998</v>
      </c>
      <c r="H102" s="60">
        <f>$H$4*G102+G102</f>
        <v>2642.1434230838126</v>
      </c>
      <c r="I102" s="60">
        <f t="shared" si="10"/>
        <v>2642.1434230838126</v>
      </c>
      <c r="J102" s="70">
        <f>I102/$I$136</f>
        <v>4.1840323478959636E-3</v>
      </c>
    </row>
    <row r="103" spans="1:10" ht="13.5" customHeight="1" x14ac:dyDescent="0.25">
      <c r="A103" s="148" t="s">
        <v>281</v>
      </c>
      <c r="B103" s="149"/>
      <c r="C103" s="149"/>
      <c r="D103" s="149"/>
      <c r="E103" s="149"/>
      <c r="F103" s="149"/>
      <c r="G103" s="149"/>
      <c r="H103" s="150"/>
      <c r="I103" s="66">
        <f>SUM(I89:I102)</f>
        <v>40186.63599984238</v>
      </c>
      <c r="J103" s="54">
        <f>SUM(J89:J102)</f>
        <v>6.3638553269834072E-2</v>
      </c>
    </row>
    <row r="104" spans="1:10" ht="15.75" customHeight="1" x14ac:dyDescent="0.25">
      <c r="A104" s="67">
        <v>11</v>
      </c>
      <c r="B104" s="45"/>
      <c r="C104" s="45"/>
      <c r="D104" s="55" t="s">
        <v>33</v>
      </c>
      <c r="E104" s="45"/>
      <c r="F104" s="45"/>
      <c r="G104" s="45"/>
      <c r="H104" s="45"/>
      <c r="I104" s="45"/>
      <c r="J104" s="45"/>
    </row>
    <row r="105" spans="1:10" x14ac:dyDescent="0.25">
      <c r="A105" s="73" t="s">
        <v>138</v>
      </c>
      <c r="B105" s="40"/>
      <c r="C105" s="40"/>
      <c r="D105" s="55" t="s">
        <v>34</v>
      </c>
      <c r="E105" s="40"/>
      <c r="F105" s="40"/>
      <c r="G105" s="40"/>
      <c r="H105" s="40"/>
      <c r="I105" s="40"/>
      <c r="J105" s="41"/>
    </row>
    <row r="106" spans="1:10" ht="45" x14ac:dyDescent="0.25">
      <c r="A106" s="40" t="s">
        <v>265</v>
      </c>
      <c r="B106" s="40">
        <v>87879</v>
      </c>
      <c r="C106" s="40" t="s">
        <v>44</v>
      </c>
      <c r="D106" s="71" t="s">
        <v>87</v>
      </c>
      <c r="E106" s="40" t="s">
        <v>147</v>
      </c>
      <c r="F106" s="68">
        <f>'MEMÓRIA DE CÁLCULO'!C444</f>
        <v>823.42399999999998</v>
      </c>
      <c r="G106" s="60">
        <v>3.7</v>
      </c>
      <c r="H106" s="60">
        <f>H4*G106+G106</f>
        <v>4.6708859100361249</v>
      </c>
      <c r="I106" s="60">
        <f>F106*H106</f>
        <v>3846.1195595855861</v>
      </c>
      <c r="J106" s="70">
        <f>I106/I136</f>
        <v>6.0906188932011657E-3</v>
      </c>
    </row>
    <row r="107" spans="1:10" ht="63" x14ac:dyDescent="0.25">
      <c r="A107" s="40" t="s">
        <v>266</v>
      </c>
      <c r="B107" s="40">
        <v>87547</v>
      </c>
      <c r="C107" s="40" t="s">
        <v>44</v>
      </c>
      <c r="D107" s="71" t="s">
        <v>88</v>
      </c>
      <c r="E107" s="40" t="s">
        <v>147</v>
      </c>
      <c r="F107" s="68">
        <f>'MEMÓRIA DE CÁLCULO'!C459</f>
        <v>823.42399999999998</v>
      </c>
      <c r="G107" s="60">
        <v>23.94</v>
      </c>
      <c r="H107" s="60">
        <f>H4*G107+G107</f>
        <v>30.221894239531039</v>
      </c>
      <c r="I107" s="60">
        <f>F107*H107</f>
        <v>24885.433042291606</v>
      </c>
      <c r="J107" s="70">
        <f>I107/I136</f>
        <v>3.9407950352225926E-2</v>
      </c>
    </row>
    <row r="108" spans="1:10" ht="45" x14ac:dyDescent="0.25">
      <c r="A108" s="40" t="s">
        <v>267</v>
      </c>
      <c r="B108" s="40">
        <v>87265</v>
      </c>
      <c r="C108" s="40" t="s">
        <v>44</v>
      </c>
      <c r="D108" s="71" t="s">
        <v>89</v>
      </c>
      <c r="E108" s="40" t="s">
        <v>147</v>
      </c>
      <c r="F108" s="68">
        <f>'MEMÓRIA DE CÁLCULO'!C468</f>
        <v>168.79999999999995</v>
      </c>
      <c r="G108" s="60">
        <v>60.04</v>
      </c>
      <c r="H108" s="60">
        <f>G108*H4+G108</f>
        <v>75.794591902315929</v>
      </c>
      <c r="I108" s="60">
        <f>F108*H108</f>
        <v>12794.127113110926</v>
      </c>
      <c r="J108" s="70">
        <f>I108/I136</f>
        <v>2.0260460214483533E-2</v>
      </c>
    </row>
    <row r="109" spans="1:10" ht="15.75" customHeight="1" x14ac:dyDescent="0.25">
      <c r="A109" s="127" t="s">
        <v>282</v>
      </c>
      <c r="B109" s="128"/>
      <c r="C109" s="128"/>
      <c r="D109" s="128"/>
      <c r="E109" s="128"/>
      <c r="F109" s="128"/>
      <c r="G109" s="128"/>
      <c r="H109" s="129"/>
      <c r="I109" s="66">
        <f>SUM(I106:I108)</f>
        <v>41525.679714988117</v>
      </c>
      <c r="J109" s="54">
        <f>SUM(J106:J108)</f>
        <v>6.575902945991062E-2</v>
      </c>
    </row>
    <row r="110" spans="1:10" x14ac:dyDescent="0.25">
      <c r="A110" s="73" t="s">
        <v>152</v>
      </c>
      <c r="B110" s="40"/>
      <c r="C110" s="40"/>
      <c r="D110" s="55" t="s">
        <v>36</v>
      </c>
      <c r="E110" s="40"/>
      <c r="F110" s="40"/>
      <c r="G110" s="60"/>
      <c r="H110" s="60"/>
      <c r="I110" s="60"/>
      <c r="J110" s="41"/>
    </row>
    <row r="111" spans="1:10" ht="41.25" customHeight="1" x14ac:dyDescent="0.25">
      <c r="A111" s="40" t="s">
        <v>268</v>
      </c>
      <c r="B111" s="40">
        <v>87879</v>
      </c>
      <c r="C111" s="40" t="s">
        <v>44</v>
      </c>
      <c r="D111" s="71" t="s">
        <v>140</v>
      </c>
      <c r="E111" s="40" t="s">
        <v>147</v>
      </c>
      <c r="F111" s="68">
        <f>'MEMÓRIA DE CÁLCULO'!C482</f>
        <v>297.38200000000001</v>
      </c>
      <c r="G111" s="60">
        <v>3.7</v>
      </c>
      <c r="H111" s="60">
        <f>H4*G111+G111</f>
        <v>4.6708859100361249</v>
      </c>
      <c r="I111" s="60">
        <f>F111*H111</f>
        <v>1389.0373936983628</v>
      </c>
      <c r="J111" s="70">
        <f>I111/I136</f>
        <v>2.19964493104154E-3</v>
      </c>
    </row>
    <row r="112" spans="1:10" ht="63" x14ac:dyDescent="0.25">
      <c r="A112" s="40" t="s">
        <v>269</v>
      </c>
      <c r="B112" s="40">
        <v>87547</v>
      </c>
      <c r="C112" s="40" t="s">
        <v>44</v>
      </c>
      <c r="D112" s="71" t="s">
        <v>88</v>
      </c>
      <c r="E112" s="40" t="s">
        <v>147</v>
      </c>
      <c r="F112" s="68">
        <f>'MEMÓRIA DE CÁLCULO'!C495</f>
        <v>297.38200000000001</v>
      </c>
      <c r="G112" s="60">
        <v>23.94</v>
      </c>
      <c r="H112" s="60">
        <f>H4*G112+G112</f>
        <v>30.221894239531039</v>
      </c>
      <c r="I112" s="60">
        <f>F112*H112</f>
        <v>8987.4473527402188</v>
      </c>
      <c r="J112" s="70">
        <f>I112/I136</f>
        <v>1.4232297202468776E-2</v>
      </c>
    </row>
    <row r="113" spans="1:10" ht="53.25" customHeight="1" x14ac:dyDescent="0.25">
      <c r="A113" s="40" t="s">
        <v>270</v>
      </c>
      <c r="B113" s="40">
        <v>88789</v>
      </c>
      <c r="C113" s="40" t="s">
        <v>44</v>
      </c>
      <c r="D113" s="71" t="s">
        <v>136</v>
      </c>
      <c r="E113" s="40" t="s">
        <v>147</v>
      </c>
      <c r="F113" s="68">
        <f>'MEMÓRIA DE CÁLCULO'!C507</f>
        <v>129.16</v>
      </c>
      <c r="G113" s="60">
        <v>210.8</v>
      </c>
      <c r="H113" s="60">
        <f>G113*H4+G113</f>
        <v>266.11425671232843</v>
      </c>
      <c r="I113" s="60">
        <f>F113*H113</f>
        <v>34371.317396964339</v>
      </c>
      <c r="J113" s="70">
        <f>I113/I136</f>
        <v>5.4429559944496698E-2</v>
      </c>
    </row>
    <row r="114" spans="1:10" ht="15.75" customHeight="1" x14ac:dyDescent="0.25">
      <c r="A114" s="127" t="s">
        <v>283</v>
      </c>
      <c r="B114" s="128"/>
      <c r="C114" s="128"/>
      <c r="D114" s="128"/>
      <c r="E114" s="128"/>
      <c r="F114" s="128"/>
      <c r="G114" s="128"/>
      <c r="H114" s="129"/>
      <c r="I114" s="66">
        <f>SUM(I111:I113)</f>
        <v>44747.802143402922</v>
      </c>
      <c r="J114" s="54">
        <f>SUM(J111:J113)</f>
        <v>7.086150207800701E-2</v>
      </c>
    </row>
    <row r="115" spans="1:10" x14ac:dyDescent="0.25">
      <c r="A115" s="73" t="s">
        <v>153</v>
      </c>
      <c r="B115" s="40"/>
      <c r="C115" s="40"/>
      <c r="D115" s="55" t="s">
        <v>35</v>
      </c>
      <c r="E115" s="40"/>
      <c r="F115" s="40"/>
      <c r="G115" s="60"/>
      <c r="H115" s="60"/>
      <c r="I115" s="60"/>
      <c r="J115" s="41"/>
    </row>
    <row r="116" spans="1:10" ht="54" x14ac:dyDescent="0.25">
      <c r="A116" s="40" t="s">
        <v>271</v>
      </c>
      <c r="B116" s="40">
        <v>87630</v>
      </c>
      <c r="C116" s="40" t="s">
        <v>44</v>
      </c>
      <c r="D116" s="71" t="s">
        <v>90</v>
      </c>
      <c r="E116" s="40" t="s">
        <v>147</v>
      </c>
      <c r="F116" s="68">
        <f>'MEMÓRIA DE CÁLCULO'!C523</f>
        <v>305.48450000000003</v>
      </c>
      <c r="G116" s="60">
        <v>34.799999999999997</v>
      </c>
      <c r="H116" s="60">
        <f>H4*G116+G116</f>
        <v>43.93157558628571</v>
      </c>
      <c r="I116" s="60">
        <f>F116*H116</f>
        <v>13420.415402188699</v>
      </c>
      <c r="J116" s="70">
        <f>I116/I136</f>
        <v>2.1252234710037361E-2</v>
      </c>
    </row>
    <row r="117" spans="1:10" ht="45" x14ac:dyDescent="0.25">
      <c r="A117" s="40" t="s">
        <v>272</v>
      </c>
      <c r="B117" s="40">
        <v>87247</v>
      </c>
      <c r="C117" s="40" t="s">
        <v>44</v>
      </c>
      <c r="D117" s="71" t="s">
        <v>91</v>
      </c>
      <c r="E117" s="40" t="s">
        <v>147</v>
      </c>
      <c r="F117" s="68">
        <f>'MEMÓRIA DE CÁLCULO'!C538</f>
        <v>305.48450000000003</v>
      </c>
      <c r="G117" s="60">
        <v>58.18</v>
      </c>
      <c r="H117" s="60">
        <f>H4*G117+G117</f>
        <v>73.446524931324802</v>
      </c>
      <c r="I117" s="60">
        <f>F117*H117</f>
        <v>22436.774945383295</v>
      </c>
      <c r="J117" s="70">
        <f>I117/I136</f>
        <v>3.5530316535344081E-2</v>
      </c>
    </row>
    <row r="118" spans="1:10" ht="27" x14ac:dyDescent="0.25">
      <c r="A118" s="40" t="s">
        <v>273</v>
      </c>
      <c r="B118" s="40">
        <v>88648</v>
      </c>
      <c r="C118" s="40" t="s">
        <v>44</v>
      </c>
      <c r="D118" s="74" t="s">
        <v>92</v>
      </c>
      <c r="E118" s="77" t="s">
        <v>161</v>
      </c>
      <c r="F118" s="68">
        <f>'MEMÓRIA DE CÁLCULO'!C551</f>
        <v>197.18000000000004</v>
      </c>
      <c r="G118" s="60">
        <v>7.59</v>
      </c>
      <c r="H118" s="60">
        <f>H4*G118+G118</f>
        <v>9.5816281235605913</v>
      </c>
      <c r="I118" s="60">
        <f>F118*H118</f>
        <v>1889.3054334036779</v>
      </c>
      <c r="J118" s="70">
        <f>I118/I136</f>
        <v>2.9918569065377478E-3</v>
      </c>
    </row>
    <row r="119" spans="1:10" ht="15.75" customHeight="1" x14ac:dyDescent="0.25">
      <c r="A119" s="127" t="s">
        <v>284</v>
      </c>
      <c r="B119" s="128"/>
      <c r="C119" s="128"/>
      <c r="D119" s="128"/>
      <c r="E119" s="128"/>
      <c r="F119" s="128"/>
      <c r="G119" s="128"/>
      <c r="H119" s="129"/>
      <c r="I119" s="66">
        <f>SUM(I116:I118)</f>
        <v>37746.495780975674</v>
      </c>
      <c r="J119" s="54">
        <f>SUM(J116:J118)</f>
        <v>5.9774408151919187E-2</v>
      </c>
    </row>
    <row r="120" spans="1:10" ht="15" customHeight="1" x14ac:dyDescent="0.25">
      <c r="A120" s="73" t="s">
        <v>154</v>
      </c>
      <c r="B120" s="40"/>
      <c r="C120" s="40"/>
      <c r="D120" s="55" t="s">
        <v>93</v>
      </c>
      <c r="E120" s="40"/>
      <c r="F120" s="40"/>
      <c r="G120" s="60"/>
      <c r="H120" s="60"/>
      <c r="I120" s="60"/>
      <c r="J120" s="41"/>
    </row>
    <row r="121" spans="1:10" ht="27" x14ac:dyDescent="0.25">
      <c r="A121" s="40" t="s">
        <v>274</v>
      </c>
      <c r="B121" s="40">
        <v>96111</v>
      </c>
      <c r="C121" s="40" t="s">
        <v>44</v>
      </c>
      <c r="D121" s="71" t="s">
        <v>330</v>
      </c>
      <c r="E121" s="40" t="s">
        <v>147</v>
      </c>
      <c r="F121" s="68">
        <f>'MEMÓRIA DE CÁLCULO'!C569</f>
        <v>305.48450000000003</v>
      </c>
      <c r="G121" s="60">
        <v>70.709999999999994</v>
      </c>
      <c r="H121" s="60">
        <f>H4*G121+G121</f>
        <v>89.264416945582269</v>
      </c>
      <c r="I121" s="60">
        <f>F121*H121</f>
        <v>27268.895778412731</v>
      </c>
      <c r="J121" s="70">
        <f>I121/I136</f>
        <v>4.3182342423756959E-2</v>
      </c>
    </row>
    <row r="122" spans="1:10" ht="16.5" customHeight="1" x14ac:dyDescent="0.25">
      <c r="A122" s="127" t="s">
        <v>285</v>
      </c>
      <c r="B122" s="128"/>
      <c r="C122" s="128"/>
      <c r="D122" s="128"/>
      <c r="E122" s="128"/>
      <c r="F122" s="128"/>
      <c r="G122" s="128"/>
      <c r="H122" s="129"/>
      <c r="I122" s="66">
        <f>I121</f>
        <v>27268.895778412731</v>
      </c>
      <c r="J122" s="54">
        <f>J121</f>
        <v>4.3182342423756959E-2</v>
      </c>
    </row>
    <row r="123" spans="1:10" x14ac:dyDescent="0.25">
      <c r="A123" s="73" t="s">
        <v>303</v>
      </c>
      <c r="B123" s="40"/>
      <c r="C123" s="40"/>
      <c r="D123" s="55" t="s">
        <v>304</v>
      </c>
      <c r="E123" s="40"/>
      <c r="F123" s="40"/>
      <c r="G123" s="60"/>
      <c r="H123" s="60"/>
      <c r="I123" s="60"/>
      <c r="J123" s="41"/>
    </row>
    <row r="124" spans="1:10" ht="18" x14ac:dyDescent="0.25">
      <c r="A124" s="40" t="s">
        <v>305</v>
      </c>
      <c r="B124" s="40">
        <v>88484</v>
      </c>
      <c r="C124" s="40" t="s">
        <v>44</v>
      </c>
      <c r="D124" s="71" t="s">
        <v>94</v>
      </c>
      <c r="E124" s="40" t="s">
        <v>147</v>
      </c>
      <c r="F124" s="68">
        <f>'MEMÓRIA DE CÁLCULO'!C592</f>
        <v>1120.806</v>
      </c>
      <c r="G124" s="60">
        <v>2.4700000000000002</v>
      </c>
      <c r="H124" s="60">
        <f>H4*G124+G124</f>
        <v>3.1181319453484404</v>
      </c>
      <c r="I124" s="60">
        <f>F124*H124</f>
        <v>3494.8209931382044</v>
      </c>
      <c r="J124" s="70">
        <f>I124/I136</f>
        <v>5.534311255643104E-3</v>
      </c>
    </row>
    <row r="125" spans="1:10" ht="18" x14ac:dyDescent="0.25">
      <c r="A125" s="40" t="s">
        <v>306</v>
      </c>
      <c r="B125" s="40">
        <v>88497</v>
      </c>
      <c r="C125" s="40" t="s">
        <v>44</v>
      </c>
      <c r="D125" s="71" t="s">
        <v>95</v>
      </c>
      <c r="E125" s="40" t="s">
        <v>147</v>
      </c>
      <c r="F125" s="68">
        <f>'MEMÓRIA DE CÁLCULO'!C614</f>
        <v>1120.806</v>
      </c>
      <c r="G125" s="60">
        <v>11.64</v>
      </c>
      <c r="H125" s="60">
        <f>H4*G125+G125</f>
        <v>14.694354592654189</v>
      </c>
      <c r="I125" s="60">
        <f>F125*H125</f>
        <v>16469.520793574371</v>
      </c>
      <c r="J125" s="70">
        <f>I125/I136</f>
        <v>2.6080721868698677E-2</v>
      </c>
    </row>
    <row r="126" spans="1:10" ht="27" x14ac:dyDescent="0.25">
      <c r="A126" s="40" t="s">
        <v>307</v>
      </c>
      <c r="B126" s="40">
        <v>88489</v>
      </c>
      <c r="C126" s="40" t="s">
        <v>44</v>
      </c>
      <c r="D126" s="78" t="s">
        <v>96</v>
      </c>
      <c r="E126" s="40" t="s">
        <v>147</v>
      </c>
      <c r="F126" s="68">
        <f>'MEMÓRIA DE CÁLCULO'!C636</f>
        <v>1120.806</v>
      </c>
      <c r="G126" s="60">
        <v>12.52</v>
      </c>
      <c r="H126" s="60">
        <f>H4*G126+G126</f>
        <v>15.8052679982844</v>
      </c>
      <c r="I126" s="60">
        <f>F126*H126</f>
        <v>17714.639204085146</v>
      </c>
      <c r="J126" s="70">
        <f>I126/I136</f>
        <v>2.8052460291761804E-2</v>
      </c>
    </row>
    <row r="127" spans="1:10" ht="24.75" customHeight="1" x14ac:dyDescent="0.25">
      <c r="A127" s="40" t="s">
        <v>308</v>
      </c>
      <c r="B127" s="40">
        <v>88485</v>
      </c>
      <c r="C127" s="40" t="s">
        <v>44</v>
      </c>
      <c r="D127" s="71" t="s">
        <v>97</v>
      </c>
      <c r="E127" s="40" t="s">
        <v>147</v>
      </c>
      <c r="F127" s="68">
        <f>'MEMÓRIA DE CÁLCULO'!C658</f>
        <v>1120.806</v>
      </c>
      <c r="G127" s="60">
        <v>2.11</v>
      </c>
      <c r="H127" s="60">
        <f>H4*G127+G127</f>
        <v>2.6636673703178984</v>
      </c>
      <c r="I127" s="60">
        <f>F127*H127</f>
        <v>2985.4543706565223</v>
      </c>
      <c r="J127" s="70">
        <f>I127/I136</f>
        <v>4.7276909916627316E-3</v>
      </c>
    </row>
    <row r="128" spans="1:10" ht="15" customHeight="1" x14ac:dyDescent="0.25">
      <c r="A128" s="127" t="s">
        <v>309</v>
      </c>
      <c r="B128" s="128"/>
      <c r="C128" s="128"/>
      <c r="D128" s="128"/>
      <c r="E128" s="128"/>
      <c r="F128" s="128"/>
      <c r="G128" s="128"/>
      <c r="H128" s="129"/>
      <c r="I128" s="66">
        <f>SUM(I124:I127)</f>
        <v>40664.435361454242</v>
      </c>
      <c r="J128" s="54">
        <f>SUM(J124:J127)</f>
        <v>6.4395184407766315E-2</v>
      </c>
    </row>
    <row r="129" spans="1:10" ht="15" customHeight="1" x14ac:dyDescent="0.25">
      <c r="A129" s="148" t="s">
        <v>286</v>
      </c>
      <c r="B129" s="149"/>
      <c r="C129" s="149"/>
      <c r="D129" s="149"/>
      <c r="E129" s="149"/>
      <c r="F129" s="149"/>
      <c r="G129" s="149"/>
      <c r="H129" s="150"/>
      <c r="I129" s="66">
        <f>SUM(I128,I122,I119,I114,I109)</f>
        <v>191953.30877923366</v>
      </c>
      <c r="J129" s="54">
        <f>SUM(J128,J122,J119,J114,J109)</f>
        <v>0.30397246652136012</v>
      </c>
    </row>
    <row r="130" spans="1:10" ht="15" customHeight="1" x14ac:dyDescent="0.25">
      <c r="A130" s="67">
        <v>12</v>
      </c>
      <c r="B130" s="45"/>
      <c r="C130" s="45"/>
      <c r="D130" s="55" t="s">
        <v>139</v>
      </c>
      <c r="E130" s="45"/>
      <c r="F130" s="45"/>
      <c r="G130" s="45"/>
      <c r="H130" s="45"/>
      <c r="I130" s="45"/>
      <c r="J130" s="45"/>
    </row>
    <row r="131" spans="1:10" ht="15" customHeight="1" x14ac:dyDescent="0.25">
      <c r="A131" s="77" t="s">
        <v>155</v>
      </c>
      <c r="B131" s="40">
        <v>98504</v>
      </c>
      <c r="C131" s="40" t="s">
        <v>44</v>
      </c>
      <c r="D131" s="75" t="s">
        <v>137</v>
      </c>
      <c r="E131" s="77" t="s">
        <v>147</v>
      </c>
      <c r="F131" s="68">
        <f>'MEMÓRIA DE CÁLCULO'!C668</f>
        <v>206.35</v>
      </c>
      <c r="G131" s="60">
        <v>10.46</v>
      </c>
      <c r="H131" s="60">
        <f>H4*G131+G131</f>
        <v>13.204720707831857</v>
      </c>
      <c r="I131" s="60">
        <f>F131*H131</f>
        <v>2724.7941180611037</v>
      </c>
      <c r="J131" s="70">
        <f>I131/I136</f>
        <v>4.3149159245934954E-3</v>
      </c>
    </row>
    <row r="132" spans="1:10" ht="15" customHeight="1" x14ac:dyDescent="0.25">
      <c r="A132" s="148" t="s">
        <v>287</v>
      </c>
      <c r="B132" s="149"/>
      <c r="C132" s="149"/>
      <c r="D132" s="149"/>
      <c r="E132" s="149"/>
      <c r="F132" s="149"/>
      <c r="G132" s="149"/>
      <c r="H132" s="150"/>
      <c r="I132" s="66">
        <f>I131</f>
        <v>2724.7941180611037</v>
      </c>
      <c r="J132" s="54">
        <f>J131</f>
        <v>4.3149159245934954E-3</v>
      </c>
    </row>
    <row r="133" spans="1:10" ht="15" customHeight="1" x14ac:dyDescent="0.25">
      <c r="A133" s="67">
        <v>13</v>
      </c>
      <c r="B133" s="45"/>
      <c r="C133" s="45"/>
      <c r="D133" s="55" t="s">
        <v>295</v>
      </c>
      <c r="E133" s="45"/>
      <c r="F133" s="45"/>
      <c r="G133" s="45"/>
      <c r="H133" s="45"/>
      <c r="I133" s="45"/>
      <c r="J133" s="45"/>
    </row>
    <row r="134" spans="1:10" ht="15.75" customHeight="1" x14ac:dyDescent="0.25">
      <c r="A134" s="77" t="s">
        <v>275</v>
      </c>
      <c r="B134" s="40">
        <v>99811</v>
      </c>
      <c r="C134" s="40" t="s">
        <v>44</v>
      </c>
      <c r="D134" s="75" t="s">
        <v>296</v>
      </c>
      <c r="E134" s="77" t="s">
        <v>147</v>
      </c>
      <c r="F134" s="68">
        <f>27.39*30.91</f>
        <v>846.62490000000003</v>
      </c>
      <c r="G134" s="60">
        <v>2.81</v>
      </c>
      <c r="H134" s="60">
        <f>H4*G134+G134</f>
        <v>3.5473484884328408</v>
      </c>
      <c r="I134" s="60">
        <f>F134*H134</f>
        <v>3003.2735592846052</v>
      </c>
      <c r="J134" s="70">
        <f>I134/I136</f>
        <v>4.7559090138116359E-3</v>
      </c>
    </row>
    <row r="135" spans="1:10" ht="15" customHeight="1" x14ac:dyDescent="0.25">
      <c r="A135" s="127" t="s">
        <v>288</v>
      </c>
      <c r="B135" s="128"/>
      <c r="C135" s="128"/>
      <c r="D135" s="128"/>
      <c r="E135" s="128"/>
      <c r="F135" s="128"/>
      <c r="G135" s="128"/>
      <c r="H135" s="129"/>
      <c r="I135" s="66">
        <f>I134</f>
        <v>3003.2735592846052</v>
      </c>
      <c r="J135" s="54">
        <f>J134</f>
        <v>4.7559090138116359E-3</v>
      </c>
    </row>
    <row r="136" spans="1:10" ht="19.5" customHeight="1" x14ac:dyDescent="0.25">
      <c r="A136" s="145" t="s">
        <v>156</v>
      </c>
      <c r="B136" s="146"/>
      <c r="C136" s="146"/>
      <c r="D136" s="146"/>
      <c r="E136" s="146"/>
      <c r="F136" s="146"/>
      <c r="G136" s="146"/>
      <c r="H136" s="147"/>
      <c r="I136" s="79">
        <f>SUM(I135,I132,I129,I103,I87,I57,I53,I45,I42,I32,I24,I16,I10)</f>
        <v>631482.55161375005</v>
      </c>
      <c r="J136" s="80">
        <f>SUM(J135,J132,J129,J103,J87,J57,J53,J45,J42,J32,J24,J16,J10)</f>
        <v>1.0000000000000002</v>
      </c>
    </row>
  </sheetData>
  <mergeCells count="28">
    <mergeCell ref="A135:H135"/>
    <mergeCell ref="A136:H136"/>
    <mergeCell ref="A75:H75"/>
    <mergeCell ref="A79:H79"/>
    <mergeCell ref="A86:H86"/>
    <mergeCell ref="A87:H87"/>
    <mergeCell ref="A103:H103"/>
    <mergeCell ref="A109:H109"/>
    <mergeCell ref="A114:H114"/>
    <mergeCell ref="A119:H119"/>
    <mergeCell ref="A122:H122"/>
    <mergeCell ref="A128:H128"/>
    <mergeCell ref="A129:H129"/>
    <mergeCell ref="A132:H132"/>
    <mergeCell ref="A53:H53"/>
    <mergeCell ref="A57:H57"/>
    <mergeCell ref="A65:H65"/>
    <mergeCell ref="A5:J5"/>
    <mergeCell ref="E1:J2"/>
    <mergeCell ref="A3:J3"/>
    <mergeCell ref="A4:F4"/>
    <mergeCell ref="A10:H10"/>
    <mergeCell ref="A16:H16"/>
    <mergeCell ref="A32:H32"/>
    <mergeCell ref="A42:H42"/>
    <mergeCell ref="A45:H45"/>
    <mergeCell ref="A24:H24"/>
    <mergeCell ref="A1:D2"/>
  </mergeCells>
  <phoneticPr fontId="3" type="noConversion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48" workbookViewId="0">
      <selection activeCell="J74" sqref="J74"/>
    </sheetView>
  </sheetViews>
  <sheetFormatPr defaultRowHeight="15" x14ac:dyDescent="0.25"/>
  <cols>
    <col min="1" max="1" width="3" bestFit="1" customWidth="1"/>
    <col min="2" max="2" width="16" customWidth="1"/>
    <col min="3" max="3" width="12.28515625" bestFit="1" customWidth="1"/>
    <col min="4" max="4" width="6.7109375" bestFit="1" customWidth="1"/>
    <col min="5" max="5" width="11.28515625" bestFit="1" customWidth="1"/>
    <col min="6" max="9" width="12.28515625" bestFit="1" customWidth="1"/>
  </cols>
  <sheetData>
    <row r="1" spans="1:9" ht="15" customHeight="1" x14ac:dyDescent="0.25">
      <c r="A1" s="151" t="s">
        <v>0</v>
      </c>
      <c r="B1" s="151"/>
      <c r="C1" s="151"/>
      <c r="D1" s="151"/>
      <c r="E1" s="131"/>
      <c r="F1" s="131"/>
      <c r="G1" s="131"/>
      <c r="H1" s="131"/>
      <c r="I1" s="131"/>
    </row>
    <row r="2" spans="1:9" ht="15" customHeight="1" x14ac:dyDescent="0.25">
      <c r="A2" s="151"/>
      <c r="B2" s="151"/>
      <c r="C2" s="151"/>
      <c r="D2" s="151"/>
      <c r="E2" s="131"/>
      <c r="F2" s="131"/>
      <c r="G2" s="131"/>
      <c r="H2" s="131"/>
      <c r="I2" s="131"/>
    </row>
    <row r="3" spans="1:9" ht="15" customHeight="1" x14ac:dyDescent="0.25">
      <c r="A3" s="151"/>
      <c r="B3" s="151"/>
      <c r="C3" s="151"/>
      <c r="D3" s="151"/>
      <c r="E3" s="131"/>
      <c r="F3" s="131"/>
      <c r="G3" s="131"/>
      <c r="H3" s="131"/>
      <c r="I3" s="131"/>
    </row>
    <row r="4" spans="1:9" x14ac:dyDescent="0.25">
      <c r="A4" s="151"/>
      <c r="B4" s="151"/>
      <c r="C4" s="151"/>
      <c r="D4" s="151"/>
      <c r="E4" s="131"/>
      <c r="F4" s="131"/>
      <c r="G4" s="131"/>
      <c r="H4" s="131"/>
      <c r="I4" s="131"/>
    </row>
    <row r="5" spans="1:9" x14ac:dyDescent="0.25">
      <c r="A5" s="152" t="s">
        <v>297</v>
      </c>
      <c r="B5" s="153"/>
      <c r="C5" s="153"/>
      <c r="D5" s="153"/>
      <c r="E5" s="153"/>
      <c r="F5" s="153"/>
      <c r="G5" s="153"/>
      <c r="H5" s="153"/>
      <c r="I5" s="154"/>
    </row>
    <row r="6" spans="1:9" x14ac:dyDescent="0.25">
      <c r="A6" s="161" t="s">
        <v>331</v>
      </c>
      <c r="B6" s="161"/>
      <c r="C6" s="161"/>
      <c r="D6" s="161"/>
      <c r="E6" s="81" t="s">
        <v>162</v>
      </c>
      <c r="F6" s="81" t="s">
        <v>163</v>
      </c>
      <c r="G6" s="81" t="s">
        <v>164</v>
      </c>
      <c r="H6" s="81" t="s">
        <v>165</v>
      </c>
      <c r="I6" s="81" t="s">
        <v>310</v>
      </c>
    </row>
    <row r="7" spans="1:9" x14ac:dyDescent="0.25">
      <c r="A7" s="162">
        <v>1</v>
      </c>
      <c r="B7" s="165" t="s">
        <v>141</v>
      </c>
      <c r="C7" s="168">
        <f>ORÇAMENTO!I10</f>
        <v>22575.073300067139</v>
      </c>
      <c r="D7" s="171">
        <f>C7/$C$74</f>
        <v>3.5749322356376546E-2</v>
      </c>
      <c r="E7" s="82">
        <f>E8/$C$7</f>
        <v>0.19999999999999998</v>
      </c>
      <c r="F7" s="82">
        <f>F8/$C$7</f>
        <v>0.19999999999999998</v>
      </c>
      <c r="G7" s="82">
        <f>G8/$C$7</f>
        <v>0.19999999999999998</v>
      </c>
      <c r="H7" s="82">
        <f>H8/$C$7</f>
        <v>0.19999999999999998</v>
      </c>
      <c r="I7" s="82">
        <f>I8/$C$7</f>
        <v>0.19999999999999998</v>
      </c>
    </row>
    <row r="8" spans="1:9" x14ac:dyDescent="0.25">
      <c r="A8" s="163"/>
      <c r="B8" s="166"/>
      <c r="C8" s="169"/>
      <c r="D8" s="172"/>
      <c r="E8" s="83">
        <f>$C$7/5</f>
        <v>4515.0146600134276</v>
      </c>
      <c r="F8" s="83">
        <f>$C$7/5</f>
        <v>4515.0146600134276</v>
      </c>
      <c r="G8" s="83">
        <f>$C$7/5</f>
        <v>4515.0146600134276</v>
      </c>
      <c r="H8" s="83">
        <f>$C$7/5</f>
        <v>4515.0146600134276</v>
      </c>
      <c r="I8" s="83">
        <f>$C$7/5</f>
        <v>4515.0146600134276</v>
      </c>
    </row>
    <row r="9" spans="1:9" x14ac:dyDescent="0.25">
      <c r="A9" s="164"/>
      <c r="B9" s="167"/>
      <c r="C9" s="170"/>
      <c r="D9" s="173"/>
      <c r="E9" s="84"/>
      <c r="F9" s="84"/>
      <c r="G9" s="84"/>
      <c r="H9" s="84"/>
      <c r="I9" s="84"/>
    </row>
    <row r="10" spans="1:9" x14ac:dyDescent="0.25">
      <c r="A10" s="155"/>
      <c r="B10" s="156"/>
      <c r="C10" s="156"/>
      <c r="D10" s="157"/>
      <c r="E10" s="85"/>
      <c r="F10" s="85"/>
      <c r="G10" s="85"/>
      <c r="H10" s="85"/>
      <c r="I10" s="85"/>
    </row>
    <row r="11" spans="1:9" x14ac:dyDescent="0.25">
      <c r="A11" s="158"/>
      <c r="B11" s="159"/>
      <c r="C11" s="159"/>
      <c r="D11" s="160"/>
      <c r="E11" s="85"/>
      <c r="F11" s="85"/>
      <c r="G11" s="85"/>
      <c r="H11" s="85"/>
      <c r="I11" s="85"/>
    </row>
    <row r="12" spans="1:9" x14ac:dyDescent="0.25">
      <c r="A12" s="162">
        <v>2</v>
      </c>
      <c r="B12" s="165" t="s">
        <v>18</v>
      </c>
      <c r="C12" s="168">
        <f>ORÇAMENTO!I16</f>
        <v>25074.931439118471</v>
      </c>
      <c r="D12" s="171">
        <f>C12/C74</f>
        <v>3.9708035281481056E-2</v>
      </c>
      <c r="E12" s="82">
        <v>1</v>
      </c>
      <c r="F12" s="85"/>
      <c r="G12" s="85"/>
      <c r="H12" s="85"/>
      <c r="I12" s="85"/>
    </row>
    <row r="13" spans="1:9" x14ac:dyDescent="0.25">
      <c r="A13" s="163"/>
      <c r="B13" s="166"/>
      <c r="C13" s="169"/>
      <c r="D13" s="172"/>
      <c r="E13" s="83">
        <f>C12</f>
        <v>25074.931439118471</v>
      </c>
      <c r="F13" s="85"/>
      <c r="G13" s="85"/>
      <c r="H13" s="85"/>
      <c r="I13" s="85"/>
    </row>
    <row r="14" spans="1:9" x14ac:dyDescent="0.25">
      <c r="A14" s="164"/>
      <c r="B14" s="167"/>
      <c r="C14" s="170"/>
      <c r="D14" s="173"/>
      <c r="E14" s="86"/>
      <c r="F14" s="85"/>
      <c r="G14" s="85"/>
      <c r="H14" s="85"/>
      <c r="I14" s="85"/>
    </row>
    <row r="15" spans="1:9" x14ac:dyDescent="0.25">
      <c r="A15" s="155"/>
      <c r="B15" s="156"/>
      <c r="C15" s="156"/>
      <c r="D15" s="157"/>
      <c r="E15" s="85"/>
      <c r="F15" s="85"/>
      <c r="G15" s="85"/>
      <c r="H15" s="85"/>
      <c r="I15" s="85"/>
    </row>
    <row r="16" spans="1:9" x14ac:dyDescent="0.25">
      <c r="A16" s="158"/>
      <c r="B16" s="159"/>
      <c r="C16" s="159"/>
      <c r="D16" s="160"/>
      <c r="E16" s="85"/>
      <c r="F16" s="85"/>
      <c r="G16" s="85"/>
      <c r="H16" s="85"/>
      <c r="I16" s="85"/>
    </row>
    <row r="17" spans="1:9" x14ac:dyDescent="0.25">
      <c r="A17" s="162">
        <v>3</v>
      </c>
      <c r="B17" s="165" t="s">
        <v>223</v>
      </c>
      <c r="C17" s="168">
        <f>ORÇAMENTO!I24</f>
        <v>24299.451872822123</v>
      </c>
      <c r="D17" s="171">
        <f>C17/C74</f>
        <v>3.8480005204775673E-2</v>
      </c>
      <c r="E17" s="82">
        <f>E18/C17</f>
        <v>1</v>
      </c>
      <c r="F17" s="82"/>
      <c r="G17" s="82"/>
      <c r="H17" s="85"/>
      <c r="I17" s="85"/>
    </row>
    <row r="18" spans="1:9" x14ac:dyDescent="0.25">
      <c r="A18" s="163"/>
      <c r="B18" s="166"/>
      <c r="C18" s="169"/>
      <c r="D18" s="172"/>
      <c r="E18" s="83">
        <f>C17</f>
        <v>24299.451872822123</v>
      </c>
      <c r="F18" s="83"/>
      <c r="G18" s="83"/>
      <c r="H18" s="85"/>
      <c r="I18" s="85"/>
    </row>
    <row r="19" spans="1:9" x14ac:dyDescent="0.25">
      <c r="A19" s="164"/>
      <c r="B19" s="167"/>
      <c r="C19" s="170"/>
      <c r="D19" s="173"/>
      <c r="E19" s="84"/>
      <c r="F19" s="85"/>
      <c r="G19" s="85"/>
      <c r="H19" s="85"/>
      <c r="I19" s="85"/>
    </row>
    <row r="20" spans="1:9" x14ac:dyDescent="0.25">
      <c r="A20" s="155"/>
      <c r="B20" s="156"/>
      <c r="C20" s="156"/>
      <c r="D20" s="157"/>
      <c r="E20" s="85"/>
      <c r="F20" s="85"/>
      <c r="G20" s="85"/>
      <c r="H20" s="85"/>
      <c r="I20" s="85"/>
    </row>
    <row r="21" spans="1:9" x14ac:dyDescent="0.25">
      <c r="A21" s="158"/>
      <c r="B21" s="159"/>
      <c r="C21" s="159"/>
      <c r="D21" s="160"/>
      <c r="E21" s="85"/>
      <c r="F21" s="85"/>
      <c r="G21" s="85"/>
      <c r="H21" s="85"/>
      <c r="I21" s="85"/>
    </row>
    <row r="22" spans="1:9" x14ac:dyDescent="0.25">
      <c r="A22" s="162">
        <v>4</v>
      </c>
      <c r="B22" s="165" t="s">
        <v>17</v>
      </c>
      <c r="C22" s="168">
        <f>ORÇAMENTO!I32</f>
        <v>12673.70926476135</v>
      </c>
      <c r="D22" s="171">
        <f>C22/C74</f>
        <v>2.0069769516788325E-2</v>
      </c>
      <c r="E22" s="82">
        <v>0.3</v>
      </c>
      <c r="F22" s="82">
        <v>0.7</v>
      </c>
      <c r="G22" s="82"/>
      <c r="H22" s="85"/>
      <c r="I22" s="85"/>
    </row>
    <row r="23" spans="1:9" x14ac:dyDescent="0.25">
      <c r="A23" s="163"/>
      <c r="B23" s="166"/>
      <c r="C23" s="169"/>
      <c r="D23" s="172"/>
      <c r="E23" s="83">
        <f>C22*E22</f>
        <v>3802.1127794284048</v>
      </c>
      <c r="F23" s="87">
        <f>C22*F22</f>
        <v>8871.5964853329442</v>
      </c>
      <c r="G23" s="83"/>
      <c r="H23" s="85"/>
      <c r="I23" s="85"/>
    </row>
    <row r="24" spans="1:9" x14ac:dyDescent="0.25">
      <c r="A24" s="164"/>
      <c r="B24" s="167"/>
      <c r="C24" s="170"/>
      <c r="D24" s="173"/>
      <c r="E24" s="84"/>
      <c r="F24" s="84"/>
      <c r="G24" s="85"/>
      <c r="H24" s="85"/>
      <c r="I24" s="85"/>
    </row>
    <row r="25" spans="1:9" x14ac:dyDescent="0.25">
      <c r="A25" s="155"/>
      <c r="B25" s="156"/>
      <c r="C25" s="156"/>
      <c r="D25" s="157"/>
      <c r="E25" s="85"/>
      <c r="F25" s="85"/>
      <c r="G25" s="85"/>
      <c r="H25" s="85"/>
      <c r="I25" s="85"/>
    </row>
    <row r="26" spans="1:9" x14ac:dyDescent="0.25">
      <c r="A26" s="158"/>
      <c r="B26" s="159"/>
      <c r="C26" s="159"/>
      <c r="D26" s="160"/>
      <c r="E26" s="85"/>
      <c r="F26" s="85"/>
      <c r="G26" s="85"/>
      <c r="H26" s="85"/>
      <c r="I26" s="85"/>
    </row>
    <row r="27" spans="1:9" x14ac:dyDescent="0.25">
      <c r="A27" s="162">
        <v>5</v>
      </c>
      <c r="B27" s="165" t="s">
        <v>298</v>
      </c>
      <c r="C27" s="168">
        <f>ORÇAMENTO!I42</f>
        <v>127534.33071475472</v>
      </c>
      <c r="D27" s="171">
        <f>C27/C74</f>
        <v>0.20196018146319555</v>
      </c>
      <c r="E27" s="85"/>
      <c r="F27" s="82">
        <f>F28/$C$27</f>
        <v>0.33333333333333331</v>
      </c>
      <c r="G27" s="82">
        <f>G28/$C$27</f>
        <v>0.33333333333333331</v>
      </c>
      <c r="H27" s="82">
        <f>H28/$C$27</f>
        <v>0.33333333333333331</v>
      </c>
      <c r="I27" s="85"/>
    </row>
    <row r="28" spans="1:9" x14ac:dyDescent="0.25">
      <c r="A28" s="163"/>
      <c r="B28" s="166"/>
      <c r="C28" s="169"/>
      <c r="D28" s="172"/>
      <c r="E28" s="85"/>
      <c r="F28" s="83">
        <f>C27/3</f>
        <v>42511.443571584903</v>
      </c>
      <c r="G28" s="83">
        <f>C27/3</f>
        <v>42511.443571584903</v>
      </c>
      <c r="H28" s="83">
        <f>C27/3</f>
        <v>42511.443571584903</v>
      </c>
      <c r="I28" s="85"/>
    </row>
    <row r="29" spans="1:9" x14ac:dyDescent="0.25">
      <c r="A29" s="164"/>
      <c r="B29" s="167"/>
      <c r="C29" s="170"/>
      <c r="D29" s="173"/>
      <c r="E29" s="85"/>
      <c r="F29" s="84"/>
      <c r="G29" s="84"/>
      <c r="H29" s="84"/>
      <c r="I29" s="85"/>
    </row>
    <row r="30" spans="1:9" x14ac:dyDescent="0.25">
      <c r="A30" s="155"/>
      <c r="B30" s="156"/>
      <c r="C30" s="156"/>
      <c r="D30" s="157"/>
      <c r="E30" s="85"/>
      <c r="F30" s="85"/>
      <c r="G30" s="85"/>
      <c r="H30" s="85"/>
      <c r="I30" s="85"/>
    </row>
    <row r="31" spans="1:9" x14ac:dyDescent="0.25">
      <c r="A31" s="158"/>
      <c r="B31" s="159"/>
      <c r="C31" s="159"/>
      <c r="D31" s="160"/>
      <c r="E31" s="85"/>
      <c r="F31" s="85"/>
      <c r="G31" s="85"/>
      <c r="H31" s="85"/>
      <c r="I31" s="85"/>
    </row>
    <row r="32" spans="1:9" x14ac:dyDescent="0.25">
      <c r="A32" s="162">
        <v>6</v>
      </c>
      <c r="B32" s="162" t="s">
        <v>25</v>
      </c>
      <c r="C32" s="168">
        <f>ORÇAMENTO!I45</f>
        <v>53736.731252641999</v>
      </c>
      <c r="D32" s="171">
        <f>C32/C74</f>
        <v>8.5096145753066482E-2</v>
      </c>
      <c r="E32" s="85"/>
      <c r="F32" s="85"/>
      <c r="G32" s="88">
        <v>0.5</v>
      </c>
      <c r="H32" s="88">
        <v>0.5</v>
      </c>
      <c r="I32" s="85"/>
    </row>
    <row r="33" spans="1:9" x14ac:dyDescent="0.25">
      <c r="A33" s="163"/>
      <c r="B33" s="163"/>
      <c r="C33" s="169"/>
      <c r="D33" s="172"/>
      <c r="E33" s="85"/>
      <c r="F33" s="85"/>
      <c r="G33" s="83">
        <f>C32/2</f>
        <v>26868.365626321</v>
      </c>
      <c r="H33" s="83">
        <f>C32/2</f>
        <v>26868.365626321</v>
      </c>
      <c r="I33" s="85"/>
    </row>
    <row r="34" spans="1:9" x14ac:dyDescent="0.25">
      <c r="A34" s="164"/>
      <c r="B34" s="164"/>
      <c r="C34" s="170"/>
      <c r="D34" s="173"/>
      <c r="E34" s="85"/>
      <c r="F34" s="85"/>
      <c r="G34" s="84"/>
      <c r="H34" s="84"/>
      <c r="I34" s="85"/>
    </row>
    <row r="35" spans="1:9" x14ac:dyDescent="0.25">
      <c r="A35" s="155"/>
      <c r="B35" s="156"/>
      <c r="C35" s="156"/>
      <c r="D35" s="157"/>
      <c r="E35" s="85"/>
      <c r="F35" s="85"/>
      <c r="G35" s="85"/>
      <c r="H35" s="85"/>
      <c r="I35" s="85"/>
    </row>
    <row r="36" spans="1:9" x14ac:dyDescent="0.25">
      <c r="A36" s="158"/>
      <c r="B36" s="159"/>
      <c r="C36" s="159"/>
      <c r="D36" s="160"/>
      <c r="E36" s="85"/>
      <c r="F36" s="85"/>
      <c r="G36" s="85"/>
      <c r="H36" s="85"/>
      <c r="I36" s="85"/>
    </row>
    <row r="37" spans="1:9" x14ac:dyDescent="0.25">
      <c r="A37" s="162">
        <v>7</v>
      </c>
      <c r="B37" s="162" t="s">
        <v>26</v>
      </c>
      <c r="C37" s="168">
        <f>ORÇAMENTO!I53</f>
        <v>40890.368940702276</v>
      </c>
      <c r="D37" s="171">
        <f>C37/C74</f>
        <v>6.4752967182081553E-2</v>
      </c>
      <c r="E37" s="82"/>
      <c r="F37" s="82"/>
      <c r="G37" s="82"/>
      <c r="H37" s="82">
        <f>H38/C37</f>
        <v>0.5</v>
      </c>
      <c r="I37" s="89">
        <f>I38/C37</f>
        <v>0.5</v>
      </c>
    </row>
    <row r="38" spans="1:9" x14ac:dyDescent="0.25">
      <c r="A38" s="163"/>
      <c r="B38" s="163"/>
      <c r="C38" s="169"/>
      <c r="D38" s="172"/>
      <c r="E38" s="83"/>
      <c r="F38" s="83"/>
      <c r="G38" s="83"/>
      <c r="H38" s="83">
        <f>C37/2</f>
        <v>20445.184470351138</v>
      </c>
      <c r="I38" s="83">
        <f>C37/2</f>
        <v>20445.184470351138</v>
      </c>
    </row>
    <row r="39" spans="1:9" x14ac:dyDescent="0.25">
      <c r="A39" s="164"/>
      <c r="B39" s="164"/>
      <c r="C39" s="170"/>
      <c r="D39" s="173"/>
      <c r="E39" s="85"/>
      <c r="F39" s="85"/>
      <c r="G39" s="85"/>
      <c r="H39" s="84"/>
      <c r="I39" s="84"/>
    </row>
    <row r="40" spans="1:9" x14ac:dyDescent="0.25">
      <c r="A40" s="155"/>
      <c r="B40" s="156"/>
      <c r="C40" s="156"/>
      <c r="D40" s="157"/>
      <c r="E40" s="85"/>
      <c r="F40" s="85"/>
      <c r="G40" s="85"/>
      <c r="H40" s="85"/>
      <c r="I40" s="85"/>
    </row>
    <row r="41" spans="1:9" x14ac:dyDescent="0.25">
      <c r="A41" s="158"/>
      <c r="B41" s="159"/>
      <c r="C41" s="159"/>
      <c r="D41" s="160"/>
      <c r="E41" s="85"/>
      <c r="F41" s="85"/>
      <c r="G41" s="85"/>
      <c r="H41" s="85"/>
      <c r="I41" s="85"/>
    </row>
    <row r="42" spans="1:9" x14ac:dyDescent="0.25">
      <c r="A42" s="162">
        <v>8</v>
      </c>
      <c r="B42" s="162" t="s">
        <v>27</v>
      </c>
      <c r="C42" s="168">
        <f>ORÇAMENTO!I57</f>
        <v>46199.243986749156</v>
      </c>
      <c r="D42" s="171">
        <f>C42/C74</f>
        <v>7.3159969137210915E-2</v>
      </c>
      <c r="E42" s="82"/>
      <c r="F42" s="82">
        <v>0.5</v>
      </c>
      <c r="G42" s="82">
        <v>0.5</v>
      </c>
      <c r="H42" s="85"/>
      <c r="I42" s="85"/>
    </row>
    <row r="43" spans="1:9" x14ac:dyDescent="0.25">
      <c r="A43" s="163"/>
      <c r="B43" s="163"/>
      <c r="C43" s="169"/>
      <c r="D43" s="172"/>
      <c r="E43" s="83"/>
      <c r="F43" s="83">
        <f>C42/2</f>
        <v>23099.621993374578</v>
      </c>
      <c r="G43" s="83">
        <f>C42/2</f>
        <v>23099.621993374578</v>
      </c>
      <c r="H43" s="85"/>
      <c r="I43" s="85"/>
    </row>
    <row r="44" spans="1:9" x14ac:dyDescent="0.25">
      <c r="A44" s="164"/>
      <c r="B44" s="164"/>
      <c r="C44" s="170"/>
      <c r="D44" s="173"/>
      <c r="E44" s="85"/>
      <c r="F44" s="84"/>
      <c r="G44" s="84"/>
      <c r="H44" s="85"/>
      <c r="I44" s="85"/>
    </row>
    <row r="45" spans="1:9" x14ac:dyDescent="0.25">
      <c r="A45" s="155"/>
      <c r="B45" s="156"/>
      <c r="C45" s="156"/>
      <c r="D45" s="157"/>
      <c r="E45" s="85"/>
      <c r="F45" s="85"/>
      <c r="G45" s="85"/>
      <c r="H45" s="85"/>
      <c r="I45" s="85"/>
    </row>
    <row r="46" spans="1:9" x14ac:dyDescent="0.25">
      <c r="A46" s="158"/>
      <c r="B46" s="159"/>
      <c r="C46" s="159"/>
      <c r="D46" s="160"/>
      <c r="E46" s="85"/>
      <c r="F46" s="85"/>
      <c r="G46" s="85"/>
      <c r="H46" s="85"/>
      <c r="I46" s="85"/>
    </row>
    <row r="47" spans="1:9" x14ac:dyDescent="0.25">
      <c r="A47" s="162">
        <v>9</v>
      </c>
      <c r="B47" s="165" t="s">
        <v>302</v>
      </c>
      <c r="C47" s="168">
        <f>ORÇAMENTO!I87</f>
        <v>40630.698385711104</v>
      </c>
      <c r="D47" s="171">
        <f>C47/C74</f>
        <v>6.434175937542469E-2</v>
      </c>
      <c r="E47" s="90">
        <f>E48/C47</f>
        <v>0.5</v>
      </c>
      <c r="F47" s="82">
        <f>F48/C47</f>
        <v>0.5</v>
      </c>
      <c r="G47" s="82"/>
      <c r="H47" s="82"/>
      <c r="I47" s="85"/>
    </row>
    <row r="48" spans="1:9" x14ac:dyDescent="0.25">
      <c r="A48" s="163"/>
      <c r="B48" s="166"/>
      <c r="C48" s="169"/>
      <c r="D48" s="172"/>
      <c r="E48" s="83">
        <f>C47/2</f>
        <v>20315.349192855552</v>
      </c>
      <c r="F48" s="83">
        <f>C47/2</f>
        <v>20315.349192855552</v>
      </c>
      <c r="G48" s="83"/>
      <c r="H48" s="83"/>
      <c r="I48" s="85"/>
    </row>
    <row r="49" spans="1:9" x14ac:dyDescent="0.25">
      <c r="A49" s="164"/>
      <c r="B49" s="167"/>
      <c r="C49" s="170"/>
      <c r="D49" s="173"/>
      <c r="E49" s="84"/>
      <c r="F49" s="84"/>
      <c r="G49" s="85"/>
      <c r="H49" s="85"/>
      <c r="I49" s="85"/>
    </row>
    <row r="50" spans="1:9" x14ac:dyDescent="0.25">
      <c r="A50" s="155"/>
      <c r="B50" s="156"/>
      <c r="C50" s="156"/>
      <c r="D50" s="157"/>
      <c r="E50" s="85"/>
      <c r="F50" s="85"/>
      <c r="G50" s="85"/>
      <c r="H50" s="85"/>
      <c r="I50" s="85"/>
    </row>
    <row r="51" spans="1:9" x14ac:dyDescent="0.25">
      <c r="A51" s="158"/>
      <c r="B51" s="159"/>
      <c r="C51" s="159"/>
      <c r="D51" s="160"/>
      <c r="E51" s="85"/>
      <c r="F51" s="85"/>
      <c r="G51" s="85"/>
      <c r="H51" s="85"/>
      <c r="I51" s="85"/>
    </row>
    <row r="52" spans="1:9" x14ac:dyDescent="0.25">
      <c r="A52" s="162">
        <v>10</v>
      </c>
      <c r="B52" s="165" t="s">
        <v>32</v>
      </c>
      <c r="C52" s="168">
        <f>ORÇAMENTO!I103</f>
        <v>40186.63599984238</v>
      </c>
      <c r="D52" s="171">
        <f>C52/C74</f>
        <v>6.3638553269834072E-2</v>
      </c>
      <c r="E52" s="85"/>
      <c r="F52" s="89">
        <f>F53/$C$52</f>
        <v>0.33333333333333337</v>
      </c>
      <c r="G52" s="89">
        <f>G53/$C$52</f>
        <v>0.33333333333333337</v>
      </c>
      <c r="H52" s="89">
        <f>H53/$C$52</f>
        <v>0.33333333333333337</v>
      </c>
      <c r="I52" s="85"/>
    </row>
    <row r="53" spans="1:9" x14ac:dyDescent="0.25">
      <c r="A53" s="163"/>
      <c r="B53" s="166"/>
      <c r="C53" s="169"/>
      <c r="D53" s="172"/>
      <c r="E53" s="85"/>
      <c r="F53" s="83">
        <f>C52/3</f>
        <v>13395.545333280794</v>
      </c>
      <c r="G53" s="83">
        <f>C52/3</f>
        <v>13395.545333280794</v>
      </c>
      <c r="H53" s="83">
        <f>C52/3</f>
        <v>13395.545333280794</v>
      </c>
      <c r="I53" s="85"/>
    </row>
    <row r="54" spans="1:9" x14ac:dyDescent="0.25">
      <c r="A54" s="164"/>
      <c r="B54" s="167"/>
      <c r="C54" s="170"/>
      <c r="D54" s="173"/>
      <c r="E54" s="85"/>
      <c r="F54" s="84"/>
      <c r="G54" s="84"/>
      <c r="H54" s="84"/>
      <c r="I54" s="85"/>
    </row>
    <row r="55" spans="1:9" x14ac:dyDescent="0.25">
      <c r="A55" s="155"/>
      <c r="B55" s="156"/>
      <c r="C55" s="156"/>
      <c r="D55" s="157"/>
      <c r="E55" s="85"/>
      <c r="F55" s="85"/>
      <c r="G55" s="85"/>
      <c r="H55" s="85"/>
      <c r="I55" s="85"/>
    </row>
    <row r="56" spans="1:9" x14ac:dyDescent="0.25">
      <c r="A56" s="158"/>
      <c r="B56" s="159"/>
      <c r="C56" s="159"/>
      <c r="D56" s="160"/>
      <c r="E56" s="85"/>
      <c r="F56" s="85"/>
      <c r="G56" s="85"/>
      <c r="H56" s="85"/>
      <c r="I56" s="85"/>
    </row>
    <row r="57" spans="1:9" x14ac:dyDescent="0.25">
      <c r="A57" s="162">
        <v>11</v>
      </c>
      <c r="B57" s="162" t="s">
        <v>33</v>
      </c>
      <c r="C57" s="168">
        <f>ORÇAMENTO!I129</f>
        <v>191953.30877923366</v>
      </c>
      <c r="D57" s="171">
        <f>C57/C74</f>
        <v>0.30397246652136006</v>
      </c>
      <c r="E57" s="85"/>
      <c r="F57" s="82"/>
      <c r="G57" s="82">
        <f>G58/$C$57</f>
        <v>0.33333333333333331</v>
      </c>
      <c r="H57" s="82">
        <f>H58/$C$57</f>
        <v>0.33333333333333331</v>
      </c>
      <c r="I57" s="89">
        <f>I58/$C$57</f>
        <v>0.33333333333333331</v>
      </c>
    </row>
    <row r="58" spans="1:9" x14ac:dyDescent="0.25">
      <c r="A58" s="163"/>
      <c r="B58" s="163"/>
      <c r="C58" s="169"/>
      <c r="D58" s="172"/>
      <c r="E58" s="85"/>
      <c r="F58" s="83"/>
      <c r="G58" s="83">
        <f>$C$57/3</f>
        <v>63984.436259744551</v>
      </c>
      <c r="H58" s="83">
        <f>$C$57/3</f>
        <v>63984.436259744551</v>
      </c>
      <c r="I58" s="91">
        <f>$C$57/3</f>
        <v>63984.436259744551</v>
      </c>
    </row>
    <row r="59" spans="1:9" x14ac:dyDescent="0.25">
      <c r="A59" s="164"/>
      <c r="B59" s="164"/>
      <c r="C59" s="170"/>
      <c r="D59" s="173"/>
      <c r="E59" s="85"/>
      <c r="F59" s="85"/>
      <c r="G59" s="84"/>
      <c r="H59" s="84"/>
      <c r="I59" s="84"/>
    </row>
    <row r="60" spans="1:9" x14ac:dyDescent="0.25">
      <c r="A60" s="155"/>
      <c r="B60" s="156"/>
      <c r="C60" s="156"/>
      <c r="D60" s="157"/>
      <c r="E60" s="85"/>
      <c r="F60" s="85"/>
      <c r="G60" s="85"/>
      <c r="H60" s="85"/>
      <c r="I60" s="85"/>
    </row>
    <row r="61" spans="1:9" x14ac:dyDescent="0.25">
      <c r="A61" s="158"/>
      <c r="B61" s="159"/>
      <c r="C61" s="159"/>
      <c r="D61" s="160"/>
      <c r="E61" s="85"/>
      <c r="F61" s="85"/>
      <c r="G61" s="85"/>
      <c r="H61" s="85"/>
      <c r="I61" s="85"/>
    </row>
    <row r="62" spans="1:9" x14ac:dyDescent="0.25">
      <c r="A62" s="162">
        <v>12</v>
      </c>
      <c r="B62" s="162" t="s">
        <v>139</v>
      </c>
      <c r="C62" s="168">
        <f>ORÇAMENTO!I132</f>
        <v>2724.7941180611037</v>
      </c>
      <c r="D62" s="171">
        <f>C62/C74</f>
        <v>4.3149159245934954E-3</v>
      </c>
      <c r="E62" s="85"/>
      <c r="F62" s="85"/>
      <c r="G62" s="85"/>
      <c r="H62" s="85"/>
      <c r="I62" s="90">
        <v>1</v>
      </c>
    </row>
    <row r="63" spans="1:9" x14ac:dyDescent="0.25">
      <c r="A63" s="163"/>
      <c r="B63" s="163"/>
      <c r="C63" s="169"/>
      <c r="D63" s="172"/>
      <c r="E63" s="85"/>
      <c r="F63" s="85"/>
      <c r="G63" s="85"/>
      <c r="H63" s="85"/>
      <c r="I63" s="83">
        <f>C62</f>
        <v>2724.7941180611037</v>
      </c>
    </row>
    <row r="64" spans="1:9" x14ac:dyDescent="0.25">
      <c r="A64" s="164"/>
      <c r="B64" s="164"/>
      <c r="C64" s="170"/>
      <c r="D64" s="173"/>
      <c r="E64" s="85"/>
      <c r="F64" s="85"/>
      <c r="G64" s="85"/>
      <c r="H64" s="85"/>
      <c r="I64" s="84"/>
    </row>
    <row r="65" spans="1:9" x14ac:dyDescent="0.25">
      <c r="A65" s="155"/>
      <c r="B65" s="156"/>
      <c r="C65" s="156"/>
      <c r="D65" s="157"/>
      <c r="E65" s="85"/>
      <c r="F65" s="85"/>
      <c r="G65" s="85"/>
      <c r="H65" s="85"/>
      <c r="I65" s="85"/>
    </row>
    <row r="66" spans="1:9" x14ac:dyDescent="0.25">
      <c r="A66" s="158"/>
      <c r="B66" s="159"/>
      <c r="C66" s="159"/>
      <c r="D66" s="160"/>
      <c r="E66" s="85"/>
      <c r="F66" s="85"/>
      <c r="G66" s="85"/>
      <c r="H66" s="85"/>
      <c r="I66" s="85"/>
    </row>
    <row r="67" spans="1:9" x14ac:dyDescent="0.25">
      <c r="A67" s="162">
        <v>12</v>
      </c>
      <c r="B67" s="165" t="s">
        <v>295</v>
      </c>
      <c r="C67" s="168">
        <f>ORÇAMENTO!I135</f>
        <v>3003.2735592846052</v>
      </c>
      <c r="D67" s="171">
        <f>C67/C74</f>
        <v>4.7559090138116359E-3</v>
      </c>
      <c r="E67" s="85"/>
      <c r="F67" s="85"/>
      <c r="G67" s="85"/>
      <c r="H67" s="85"/>
      <c r="I67" s="90">
        <v>1</v>
      </c>
    </row>
    <row r="68" spans="1:9" x14ac:dyDescent="0.25">
      <c r="A68" s="163"/>
      <c r="B68" s="166"/>
      <c r="C68" s="169"/>
      <c r="D68" s="172"/>
      <c r="E68" s="85"/>
      <c r="F68" s="85"/>
      <c r="G68" s="85"/>
      <c r="H68" s="85"/>
      <c r="I68" s="83">
        <f>C67</f>
        <v>3003.2735592846052</v>
      </c>
    </row>
    <row r="69" spans="1:9" x14ac:dyDescent="0.25">
      <c r="A69" s="164"/>
      <c r="B69" s="167"/>
      <c r="C69" s="170"/>
      <c r="D69" s="173"/>
      <c r="E69" s="85"/>
      <c r="F69" s="85"/>
      <c r="G69" s="85"/>
      <c r="H69" s="85"/>
      <c r="I69" s="84"/>
    </row>
    <row r="70" spans="1:9" x14ac:dyDescent="0.25">
      <c r="A70" s="177" t="s">
        <v>166</v>
      </c>
      <c r="B70" s="178"/>
      <c r="C70" s="178"/>
      <c r="D70" s="179"/>
      <c r="E70" s="82">
        <f>E71/$C$74</f>
        <v>0.12352971550028087</v>
      </c>
      <c r="F70" s="82">
        <f t="shared" ref="F70:I70" si="0">F71/$C$74</f>
        <v>0.17848247896702149</v>
      </c>
      <c r="G70" s="82">
        <f t="shared" si="0"/>
        <v>0.27613498900121053</v>
      </c>
      <c r="H70" s="82">
        <f t="shared" si="0"/>
        <v>0.27193148802364586</v>
      </c>
      <c r="I70" s="82">
        <f t="shared" si="0"/>
        <v>0.14992132850784123</v>
      </c>
    </row>
    <row r="71" spans="1:9" x14ac:dyDescent="0.25">
      <c r="A71" s="180"/>
      <c r="B71" s="181"/>
      <c r="C71" s="181"/>
      <c r="D71" s="182"/>
      <c r="E71" s="83">
        <f>SUM(E48,E23,E18,E13,E8)</f>
        <v>78006.859944237978</v>
      </c>
      <c r="F71" s="83">
        <f>SUM(F53,F48,F43,F28,F23,F8)</f>
        <v>112708.57123644221</v>
      </c>
      <c r="G71" s="83">
        <f>SUM(G58,G53,G43,G33,G28,G8)</f>
        <v>174374.42744431924</v>
      </c>
      <c r="H71" s="83">
        <f>SUM(H58,H53,H38,H33,H28,H8)</f>
        <v>171719.98992129581</v>
      </c>
      <c r="I71" s="83">
        <f>SUM(I68,I63,I58,I38,I8)</f>
        <v>94672.70306745483</v>
      </c>
    </row>
    <row r="72" spans="1:9" x14ac:dyDescent="0.25">
      <c r="A72" s="177" t="s">
        <v>167</v>
      </c>
      <c r="B72" s="178"/>
      <c r="C72" s="178"/>
      <c r="D72" s="179"/>
      <c r="E72" s="82">
        <f>E73/$C$74</f>
        <v>0.12352971550028087</v>
      </c>
      <c r="F72" s="82">
        <f t="shared" ref="F72:I72" si="1">F73/$C$74</f>
        <v>0.30201219446730232</v>
      </c>
      <c r="G72" s="82">
        <f t="shared" si="1"/>
        <v>0.5781471834685129</v>
      </c>
      <c r="H72" s="82">
        <f t="shared" si="1"/>
        <v>0.85007867149215877</v>
      </c>
      <c r="I72" s="82">
        <f t="shared" si="1"/>
        <v>1</v>
      </c>
    </row>
    <row r="73" spans="1:9" x14ac:dyDescent="0.25">
      <c r="A73" s="180"/>
      <c r="B73" s="181"/>
      <c r="C73" s="181"/>
      <c r="D73" s="182"/>
      <c r="E73" s="83">
        <f>E71</f>
        <v>78006.859944237978</v>
      </c>
      <c r="F73" s="83">
        <f>SUM(E71:F71)</f>
        <v>190715.43118068017</v>
      </c>
      <c r="G73" s="83">
        <f>SUM(E71:G71)</f>
        <v>365089.85862499941</v>
      </c>
      <c r="H73" s="83">
        <f>SUM(E71:H71)</f>
        <v>536809.84854629519</v>
      </c>
      <c r="I73" s="83">
        <f>SUM(E71:I71)</f>
        <v>631482.55161375005</v>
      </c>
    </row>
    <row r="74" spans="1:9" x14ac:dyDescent="0.25">
      <c r="A74" s="183" t="s">
        <v>168</v>
      </c>
      <c r="B74" s="184"/>
      <c r="C74" s="185">
        <f>ORÇAMENTO!I136</f>
        <v>631482.55161375005</v>
      </c>
      <c r="D74" s="186"/>
      <c r="E74" s="174"/>
      <c r="F74" s="175"/>
      <c r="G74" s="175"/>
      <c r="H74" s="175"/>
      <c r="I74" s="176"/>
    </row>
  </sheetData>
  <mergeCells count="73">
    <mergeCell ref="A67:A69"/>
    <mergeCell ref="B67:B69"/>
    <mergeCell ref="C67:C69"/>
    <mergeCell ref="D67:D69"/>
    <mergeCell ref="E74:I74"/>
    <mergeCell ref="A70:D71"/>
    <mergeCell ref="A72:D73"/>
    <mergeCell ref="A74:B74"/>
    <mergeCell ref="C74:D74"/>
    <mergeCell ref="A62:A64"/>
    <mergeCell ref="B62:B64"/>
    <mergeCell ref="C62:C64"/>
    <mergeCell ref="D62:D64"/>
    <mergeCell ref="A65:D66"/>
    <mergeCell ref="A57:A59"/>
    <mergeCell ref="B57:B59"/>
    <mergeCell ref="C57:C59"/>
    <mergeCell ref="D57:D59"/>
    <mergeCell ref="A60:D61"/>
    <mergeCell ref="A55:D56"/>
    <mergeCell ref="A42:A44"/>
    <mergeCell ref="B42:B44"/>
    <mergeCell ref="C42:C44"/>
    <mergeCell ref="D42:D44"/>
    <mergeCell ref="A45:D46"/>
    <mergeCell ref="A47:A49"/>
    <mergeCell ref="B47:B49"/>
    <mergeCell ref="C47:C49"/>
    <mergeCell ref="D47:D49"/>
    <mergeCell ref="A50:D51"/>
    <mergeCell ref="A52:A54"/>
    <mergeCell ref="B52:B54"/>
    <mergeCell ref="C52:C54"/>
    <mergeCell ref="D52:D54"/>
    <mergeCell ref="A40:D41"/>
    <mergeCell ref="A27:A29"/>
    <mergeCell ref="B27:B29"/>
    <mergeCell ref="C27:C29"/>
    <mergeCell ref="D27:D29"/>
    <mergeCell ref="A30:D31"/>
    <mergeCell ref="A32:A34"/>
    <mergeCell ref="B32:B34"/>
    <mergeCell ref="C32:C34"/>
    <mergeCell ref="D32:D34"/>
    <mergeCell ref="A35:D36"/>
    <mergeCell ref="A37:A39"/>
    <mergeCell ref="B37:B39"/>
    <mergeCell ref="C37:C39"/>
    <mergeCell ref="D37:D39"/>
    <mergeCell ref="A25:D26"/>
    <mergeCell ref="A12:A14"/>
    <mergeCell ref="B12:B14"/>
    <mergeCell ref="C12:C14"/>
    <mergeCell ref="D12:D14"/>
    <mergeCell ref="A15:D16"/>
    <mergeCell ref="A17:A19"/>
    <mergeCell ref="B17:B19"/>
    <mergeCell ref="C17:C19"/>
    <mergeCell ref="D17:D19"/>
    <mergeCell ref="A20:D21"/>
    <mergeCell ref="A22:A24"/>
    <mergeCell ref="B22:B24"/>
    <mergeCell ref="C22:C24"/>
    <mergeCell ref="D22:D24"/>
    <mergeCell ref="A1:D4"/>
    <mergeCell ref="E1:I4"/>
    <mergeCell ref="A5:I5"/>
    <mergeCell ref="A10:D11"/>
    <mergeCell ref="A6:D6"/>
    <mergeCell ref="A7:A9"/>
    <mergeCell ref="B7:B9"/>
    <mergeCell ref="C7:C9"/>
    <mergeCell ref="D7:D9"/>
  </mergeCells>
  <phoneticPr fontId="3" type="noConversion"/>
  <pageMargins left="0.25" right="0.25" top="0.75" bottom="0.75" header="0.3" footer="0.3"/>
  <pageSetup paperSize="9" orientation="portrait" r:id="rId1"/>
  <ignoredErrors>
    <ignoredError sqref="E71:I7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6"/>
  <sheetViews>
    <sheetView zoomScale="140" zoomScaleNormal="140" workbookViewId="0">
      <selection activeCell="G18" sqref="G18"/>
    </sheetView>
  </sheetViews>
  <sheetFormatPr defaultRowHeight="15" x14ac:dyDescent="0.25"/>
  <sheetData>
    <row r="1" spans="1:10" x14ac:dyDescent="0.25">
      <c r="A1" s="2">
        <v>1</v>
      </c>
      <c r="B1" s="194" t="s">
        <v>141</v>
      </c>
      <c r="C1" s="194"/>
      <c r="D1" s="194"/>
      <c r="E1" s="194"/>
      <c r="F1" s="194"/>
      <c r="G1" s="194"/>
      <c r="H1" s="194"/>
      <c r="I1" s="194"/>
      <c r="J1" s="194"/>
    </row>
    <row r="2" spans="1:10" x14ac:dyDescent="0.25">
      <c r="A2" s="3" t="s">
        <v>12</v>
      </c>
      <c r="B2" s="195" t="s">
        <v>142</v>
      </c>
      <c r="C2" s="195"/>
      <c r="D2" s="195"/>
      <c r="E2" s="195"/>
      <c r="F2" s="195"/>
      <c r="G2" s="195"/>
      <c r="H2" s="195"/>
      <c r="I2" s="195"/>
      <c r="J2" s="195"/>
    </row>
    <row r="3" spans="1:10" x14ac:dyDescent="0.25">
      <c r="A3" s="4"/>
      <c r="B3" s="5"/>
      <c r="C3" s="5"/>
      <c r="D3" s="4"/>
      <c r="E3" s="4"/>
      <c r="F3" s="4"/>
      <c r="G3" s="4"/>
      <c r="H3" s="4"/>
      <c r="I3" s="4"/>
      <c r="J3" s="4"/>
    </row>
    <row r="4" spans="1:10" x14ac:dyDescent="0.25">
      <c r="A4" s="4"/>
      <c r="B4" s="6"/>
      <c r="C4" s="6" t="s">
        <v>206</v>
      </c>
      <c r="D4" s="6"/>
      <c r="E4" s="6" t="s">
        <v>207</v>
      </c>
      <c r="F4" s="6"/>
      <c r="G4" s="6" t="s">
        <v>208</v>
      </c>
      <c r="H4" s="6"/>
      <c r="I4" s="4"/>
      <c r="J4" s="4"/>
    </row>
    <row r="5" spans="1:10" x14ac:dyDescent="0.25">
      <c r="A5" s="4"/>
      <c r="B5" s="6" t="s">
        <v>209</v>
      </c>
      <c r="C5" s="6">
        <v>2</v>
      </c>
      <c r="D5" s="6" t="s">
        <v>210</v>
      </c>
      <c r="E5" s="6">
        <v>10</v>
      </c>
      <c r="F5" s="6" t="s">
        <v>210</v>
      </c>
      <c r="G5" s="6">
        <v>3</v>
      </c>
      <c r="H5" s="6"/>
      <c r="I5" s="4"/>
      <c r="J5" s="4"/>
    </row>
    <row r="6" spans="1:10" x14ac:dyDescent="0.25">
      <c r="A6" s="4"/>
      <c r="B6" s="4"/>
      <c r="C6" s="7"/>
      <c r="D6" s="7"/>
      <c r="E6" s="7"/>
      <c r="F6" s="7"/>
      <c r="G6" s="7"/>
      <c r="H6" s="4"/>
      <c r="I6" s="4"/>
      <c r="J6" s="4"/>
    </row>
    <row r="7" spans="1:10" x14ac:dyDescent="0.25">
      <c r="A7" s="4"/>
      <c r="B7" s="6" t="s">
        <v>209</v>
      </c>
      <c r="C7" s="6">
        <f>C5*E5*G5</f>
        <v>60</v>
      </c>
      <c r="D7" s="6" t="s">
        <v>143</v>
      </c>
      <c r="E7" s="4"/>
      <c r="F7" s="4"/>
      <c r="G7" s="4"/>
      <c r="H7" s="4"/>
      <c r="I7" s="4"/>
      <c r="J7" s="4"/>
    </row>
    <row r="8" spans="1:10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9" t="s">
        <v>13</v>
      </c>
      <c r="B9" s="195" t="s">
        <v>144</v>
      </c>
      <c r="C9" s="195"/>
      <c r="D9" s="195"/>
      <c r="E9" s="195"/>
      <c r="F9" s="195"/>
      <c r="G9" s="195"/>
      <c r="H9" s="195"/>
      <c r="I9" s="195"/>
      <c r="J9" s="195"/>
    </row>
    <row r="10" spans="1:10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</row>
    <row r="11" spans="1:10" x14ac:dyDescent="0.25">
      <c r="A11" s="4"/>
      <c r="B11" s="6"/>
      <c r="C11" s="6" t="s">
        <v>206</v>
      </c>
      <c r="D11" s="6"/>
      <c r="E11" s="6" t="s">
        <v>207</v>
      </c>
      <c r="F11" s="6"/>
      <c r="G11" s="6" t="s">
        <v>208</v>
      </c>
      <c r="H11" s="6"/>
      <c r="I11" s="4"/>
      <c r="J11" s="4"/>
    </row>
    <row r="12" spans="1:10" x14ac:dyDescent="0.25">
      <c r="A12" s="4"/>
      <c r="B12" s="6" t="s">
        <v>209</v>
      </c>
      <c r="C12" s="6">
        <v>8</v>
      </c>
      <c r="D12" s="6" t="s">
        <v>210</v>
      </c>
      <c r="E12" s="6">
        <v>20</v>
      </c>
      <c r="F12" s="6" t="s">
        <v>210</v>
      </c>
      <c r="G12" s="6">
        <v>3</v>
      </c>
      <c r="H12" s="6"/>
      <c r="I12" s="4"/>
      <c r="J12" s="4"/>
    </row>
    <row r="13" spans="1:10" x14ac:dyDescent="0.25">
      <c r="A13" s="4"/>
      <c r="B13" s="4"/>
      <c r="C13" s="7"/>
      <c r="D13" s="7"/>
      <c r="E13" s="7"/>
      <c r="F13" s="7"/>
      <c r="G13" s="7"/>
      <c r="H13" s="4"/>
      <c r="I13" s="4"/>
      <c r="J13" s="4"/>
    </row>
    <row r="14" spans="1:10" x14ac:dyDescent="0.25">
      <c r="A14" s="4"/>
      <c r="B14" s="6" t="s">
        <v>209</v>
      </c>
      <c r="C14" s="6">
        <f>C12*E12*G12</f>
        <v>480</v>
      </c>
      <c r="D14" s="6" t="s">
        <v>143</v>
      </c>
      <c r="E14" s="4"/>
      <c r="F14" s="4"/>
      <c r="G14" s="4"/>
      <c r="H14" s="4"/>
      <c r="I14" s="4"/>
      <c r="J14" s="4"/>
    </row>
    <row r="15" spans="1:10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x14ac:dyDescent="0.25">
      <c r="A16" s="11">
        <v>2</v>
      </c>
      <c r="B16" s="194" t="s">
        <v>18</v>
      </c>
      <c r="C16" s="194"/>
      <c r="D16" s="194"/>
      <c r="E16" s="194"/>
      <c r="F16" s="194"/>
      <c r="G16" s="194"/>
      <c r="H16" s="194"/>
      <c r="I16" s="194"/>
      <c r="J16" s="194"/>
    </row>
    <row r="17" spans="1:10" x14ac:dyDescent="0.25">
      <c r="A17" s="12" t="s">
        <v>14</v>
      </c>
      <c r="B17" s="193" t="s">
        <v>211</v>
      </c>
      <c r="C17" s="193"/>
      <c r="D17" s="193"/>
      <c r="E17" s="193"/>
      <c r="F17" s="193"/>
      <c r="G17" s="193"/>
      <c r="H17" s="193"/>
      <c r="I17" s="193"/>
      <c r="J17" s="193"/>
    </row>
    <row r="18" spans="1:10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x14ac:dyDescent="0.25">
      <c r="A19" s="16"/>
      <c r="B19" s="14"/>
      <c r="C19" s="14" t="s">
        <v>161</v>
      </c>
      <c r="D19" s="14"/>
      <c r="E19" s="14" t="s">
        <v>161</v>
      </c>
      <c r="F19" s="17"/>
      <c r="G19" s="17"/>
      <c r="H19" s="17"/>
      <c r="I19" s="16"/>
      <c r="J19" s="16"/>
    </row>
    <row r="20" spans="1:10" x14ac:dyDescent="0.25">
      <c r="A20" s="16"/>
      <c r="B20" s="14" t="s">
        <v>209</v>
      </c>
      <c r="C20" s="14">
        <v>2</v>
      </c>
      <c r="D20" s="14" t="s">
        <v>210</v>
      </c>
      <c r="E20" s="14">
        <v>3</v>
      </c>
      <c r="F20" s="17"/>
      <c r="G20" s="17"/>
      <c r="H20" s="17"/>
      <c r="I20" s="16"/>
      <c r="J20" s="16"/>
    </row>
    <row r="21" spans="1:10" x14ac:dyDescent="0.25">
      <c r="A21" s="16"/>
      <c r="B21" s="13"/>
      <c r="C21" s="15"/>
      <c r="D21" s="15"/>
      <c r="E21" s="15"/>
      <c r="F21" s="15"/>
      <c r="G21" s="15"/>
      <c r="H21" s="13"/>
      <c r="I21" s="16"/>
      <c r="J21" s="16"/>
    </row>
    <row r="22" spans="1:10" x14ac:dyDescent="0.25">
      <c r="A22" s="16"/>
      <c r="B22" s="14" t="s">
        <v>209</v>
      </c>
      <c r="C22" s="14">
        <f>C20*E20</f>
        <v>6</v>
      </c>
      <c r="D22" s="14" t="s">
        <v>147</v>
      </c>
      <c r="E22" s="13"/>
      <c r="F22" s="13"/>
      <c r="G22" s="13"/>
      <c r="H22" s="13"/>
      <c r="I22" s="16"/>
      <c r="J22" s="16"/>
    </row>
    <row r="23" spans="1:10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5" customHeight="1" x14ac:dyDescent="0.25">
      <c r="A24" s="10" t="s">
        <v>19</v>
      </c>
      <c r="B24" s="187" t="s">
        <v>16</v>
      </c>
      <c r="C24" s="188"/>
      <c r="D24" s="188"/>
      <c r="E24" s="188"/>
      <c r="F24" s="188"/>
      <c r="G24" s="188"/>
      <c r="H24" s="188"/>
      <c r="I24" s="188"/>
      <c r="J24" s="189"/>
    </row>
    <row r="25" spans="1:10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x14ac:dyDescent="0.25">
      <c r="A26" s="16"/>
      <c r="B26" s="14" t="s">
        <v>209</v>
      </c>
      <c r="C26" s="14">
        <v>2</v>
      </c>
      <c r="D26" s="14" t="s">
        <v>212</v>
      </c>
      <c r="E26" s="13"/>
      <c r="F26" s="16"/>
      <c r="G26" s="16"/>
      <c r="H26" s="16"/>
      <c r="I26" s="16"/>
      <c r="J26" s="16"/>
    </row>
    <row r="27" spans="1:10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x14ac:dyDescent="0.25">
      <c r="A28" s="12" t="s">
        <v>99</v>
      </c>
      <c r="B28" s="187" t="s">
        <v>146</v>
      </c>
      <c r="C28" s="188"/>
      <c r="D28" s="188"/>
      <c r="E28" s="188"/>
      <c r="F28" s="188"/>
      <c r="G28" s="188"/>
      <c r="H28" s="188"/>
      <c r="I28" s="188"/>
      <c r="J28" s="189"/>
    </row>
    <row r="29" spans="1:10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 customHeight="1" x14ac:dyDescent="0.25">
      <c r="A30" s="16"/>
      <c r="B30" s="14"/>
      <c r="C30" s="14" t="s">
        <v>161</v>
      </c>
      <c r="D30" s="14"/>
      <c r="E30" s="14" t="s">
        <v>161</v>
      </c>
      <c r="F30" s="16"/>
      <c r="G30" s="16"/>
      <c r="H30" s="16"/>
      <c r="I30" s="16"/>
      <c r="J30" s="16"/>
    </row>
    <row r="31" spans="1:10" ht="15" customHeight="1" x14ac:dyDescent="0.25">
      <c r="A31" s="16"/>
      <c r="B31" s="14" t="s">
        <v>209</v>
      </c>
      <c r="C31" s="14">
        <v>3</v>
      </c>
      <c r="D31" s="14" t="s">
        <v>210</v>
      </c>
      <c r="E31" s="14">
        <v>4</v>
      </c>
      <c r="F31" s="16"/>
      <c r="G31" s="16"/>
      <c r="H31" s="16"/>
      <c r="I31" s="16"/>
      <c r="J31" s="16"/>
    </row>
    <row r="32" spans="1:10" x14ac:dyDescent="0.25">
      <c r="A32" s="16"/>
      <c r="B32" s="13"/>
      <c r="C32" s="15"/>
      <c r="D32" s="15"/>
      <c r="E32" s="15"/>
      <c r="F32" s="16"/>
      <c r="G32" s="16"/>
      <c r="H32" s="16"/>
      <c r="I32" s="16"/>
      <c r="J32" s="16"/>
    </row>
    <row r="33" spans="1:10" x14ac:dyDescent="0.25">
      <c r="A33" s="16"/>
      <c r="B33" s="14" t="s">
        <v>209</v>
      </c>
      <c r="C33" s="14">
        <f>C31*E31</f>
        <v>12</v>
      </c>
      <c r="D33" s="14" t="s">
        <v>147</v>
      </c>
      <c r="E33" s="13"/>
      <c r="F33" s="16"/>
      <c r="G33" s="16"/>
      <c r="H33" s="16"/>
      <c r="I33" s="16"/>
      <c r="J33" s="16"/>
    </row>
    <row r="34" spans="1:10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 customHeight="1" x14ac:dyDescent="0.25">
      <c r="A35" s="18">
        <v>3</v>
      </c>
      <c r="B35" s="190" t="s">
        <v>223</v>
      </c>
      <c r="C35" s="191"/>
      <c r="D35" s="191"/>
      <c r="E35" s="191"/>
      <c r="F35" s="191"/>
      <c r="G35" s="191"/>
      <c r="H35" s="191"/>
      <c r="I35" s="191"/>
      <c r="J35" s="192"/>
    </row>
    <row r="36" spans="1:10" ht="15" customHeight="1" x14ac:dyDescent="0.25">
      <c r="A36" s="24" t="s">
        <v>20</v>
      </c>
      <c r="B36" s="187" t="s">
        <v>221</v>
      </c>
      <c r="C36" s="188"/>
      <c r="D36" s="188"/>
      <c r="E36" s="188"/>
      <c r="F36" s="188"/>
      <c r="G36" s="188"/>
      <c r="H36" s="188"/>
      <c r="I36" s="188"/>
      <c r="J36" s="189"/>
    </row>
    <row r="37" spans="1:10" ht="15" customHeight="1" x14ac:dyDescent="0.25"/>
    <row r="38" spans="1:10" ht="15" customHeight="1" x14ac:dyDescent="0.25">
      <c r="B38" s="25"/>
      <c r="C38" s="25" t="s">
        <v>161</v>
      </c>
      <c r="D38" s="25"/>
      <c r="E38" s="25" t="s">
        <v>161</v>
      </c>
      <c r="F38" s="25"/>
      <c r="G38" s="25" t="s">
        <v>161</v>
      </c>
    </row>
    <row r="39" spans="1:10" ht="15" customHeight="1" x14ac:dyDescent="0.25">
      <c r="B39" s="25" t="s">
        <v>209</v>
      </c>
      <c r="C39" s="25">
        <v>17.7</v>
      </c>
      <c r="D39" s="25" t="s">
        <v>210</v>
      </c>
      <c r="E39" s="25">
        <v>3</v>
      </c>
      <c r="F39" s="25" t="s">
        <v>210</v>
      </c>
      <c r="G39" s="25">
        <v>0.1</v>
      </c>
    </row>
    <row r="40" spans="1:10" ht="15" customHeight="1" x14ac:dyDescent="0.25">
      <c r="B40" s="25" t="s">
        <v>209</v>
      </c>
      <c r="C40" s="25">
        <v>3.77</v>
      </c>
      <c r="D40" s="25" t="s">
        <v>210</v>
      </c>
      <c r="E40" s="25">
        <v>4</v>
      </c>
      <c r="F40" s="25" t="s">
        <v>210</v>
      </c>
      <c r="G40" s="25">
        <v>0.1</v>
      </c>
    </row>
    <row r="41" spans="1:10" ht="15" customHeight="1" x14ac:dyDescent="0.25">
      <c r="B41" s="25" t="s">
        <v>209</v>
      </c>
      <c r="C41" s="25">
        <v>8</v>
      </c>
      <c r="D41" s="25" t="s">
        <v>210</v>
      </c>
      <c r="E41" s="25">
        <v>3</v>
      </c>
      <c r="F41" s="25" t="s">
        <v>210</v>
      </c>
      <c r="G41" s="25">
        <v>0.1</v>
      </c>
    </row>
    <row r="42" spans="1:10" ht="15" customHeight="1" x14ac:dyDescent="0.25">
      <c r="B42" s="25" t="s">
        <v>209</v>
      </c>
      <c r="C42" s="25">
        <v>3.08</v>
      </c>
      <c r="D42" s="25" t="s">
        <v>210</v>
      </c>
      <c r="E42" s="25">
        <v>3</v>
      </c>
      <c r="F42" s="25" t="s">
        <v>210</v>
      </c>
      <c r="G42" s="25">
        <v>0.1</v>
      </c>
    </row>
    <row r="43" spans="1:10" ht="15" customHeight="1" x14ac:dyDescent="0.25">
      <c r="B43" s="25" t="s">
        <v>209</v>
      </c>
      <c r="C43" s="25">
        <v>2.5099999999999998</v>
      </c>
      <c r="D43" s="25" t="s">
        <v>210</v>
      </c>
      <c r="E43" s="25">
        <v>2</v>
      </c>
      <c r="F43" s="25" t="s">
        <v>210</v>
      </c>
      <c r="G43" s="25">
        <v>0.1</v>
      </c>
    </row>
    <row r="44" spans="1:10" ht="15" customHeight="1" x14ac:dyDescent="0.25">
      <c r="B44" s="25" t="s">
        <v>209</v>
      </c>
      <c r="C44" s="25">
        <v>2.54</v>
      </c>
      <c r="D44" s="25" t="s">
        <v>210</v>
      </c>
      <c r="E44" s="25">
        <v>3</v>
      </c>
      <c r="F44" s="25" t="s">
        <v>210</v>
      </c>
      <c r="G44" s="25">
        <v>0.1</v>
      </c>
    </row>
    <row r="45" spans="1:10" ht="15" customHeight="1" x14ac:dyDescent="0.25">
      <c r="B45" s="25" t="s">
        <v>209</v>
      </c>
      <c r="C45" s="25">
        <v>12.29</v>
      </c>
      <c r="D45" s="25" t="s">
        <v>210</v>
      </c>
      <c r="E45" s="25">
        <v>3</v>
      </c>
      <c r="F45" s="25" t="s">
        <v>210</v>
      </c>
      <c r="G45" s="25">
        <v>0.1</v>
      </c>
    </row>
    <row r="46" spans="1:10" ht="15" customHeight="1" x14ac:dyDescent="0.25">
      <c r="B46" s="25" t="s">
        <v>209</v>
      </c>
      <c r="C46" s="25">
        <v>2.4</v>
      </c>
      <c r="D46" s="25" t="s">
        <v>210</v>
      </c>
      <c r="E46" s="25">
        <v>3</v>
      </c>
      <c r="F46" s="25" t="s">
        <v>210</v>
      </c>
      <c r="G46" s="25">
        <v>0.1</v>
      </c>
    </row>
    <row r="47" spans="1:10" ht="15" customHeight="1" x14ac:dyDescent="0.25">
      <c r="B47" s="25" t="s">
        <v>209</v>
      </c>
      <c r="C47" s="25">
        <v>3.69</v>
      </c>
      <c r="D47" s="25" t="s">
        <v>210</v>
      </c>
      <c r="E47" s="25">
        <v>3</v>
      </c>
      <c r="F47" s="25" t="s">
        <v>210</v>
      </c>
      <c r="G47" s="25">
        <v>0.1</v>
      </c>
    </row>
    <row r="48" spans="1:10" ht="15" customHeight="1" x14ac:dyDescent="0.25">
      <c r="B48" s="25" t="s">
        <v>209</v>
      </c>
      <c r="C48" s="25">
        <v>120</v>
      </c>
      <c r="D48" s="25" t="s">
        <v>210</v>
      </c>
      <c r="E48" s="25">
        <v>3</v>
      </c>
      <c r="F48" s="25" t="s">
        <v>210</v>
      </c>
      <c r="G48" s="25">
        <v>0.1</v>
      </c>
    </row>
    <row r="49" spans="1:10" ht="15" customHeight="1" x14ac:dyDescent="0.25">
      <c r="B49" s="13"/>
      <c r="C49" s="15"/>
      <c r="D49" s="15"/>
      <c r="E49" s="15"/>
    </row>
    <row r="50" spans="1:10" ht="15" customHeight="1" x14ac:dyDescent="0.25">
      <c r="B50" s="25" t="s">
        <v>209</v>
      </c>
      <c r="C50" s="27">
        <f>C39*E39*G39+C40*E40*G40+C41*E41*G41+C42*E42*G42+C43*E43*G43+C44*E44*G44+C45*E45*G45+C46*E46*G46+C47*E47*G47+C48*E48*G48</f>
        <v>52.92</v>
      </c>
      <c r="D50" s="25" t="s">
        <v>158</v>
      </c>
      <c r="E50" s="13"/>
    </row>
    <row r="51" spans="1:10" ht="15" customHeight="1" x14ac:dyDescent="0.25"/>
    <row r="52" spans="1:10" ht="15" customHeight="1" x14ac:dyDescent="0.25">
      <c r="A52" s="24" t="s">
        <v>21</v>
      </c>
      <c r="B52" s="187" t="s">
        <v>222</v>
      </c>
      <c r="C52" s="188"/>
      <c r="D52" s="188"/>
      <c r="E52" s="188"/>
      <c r="F52" s="188"/>
      <c r="G52" s="188"/>
      <c r="H52" s="188"/>
      <c r="I52" s="188"/>
      <c r="J52" s="189"/>
    </row>
    <row r="53" spans="1:10" ht="15" customHeight="1" x14ac:dyDescent="0.25"/>
    <row r="54" spans="1:10" ht="15" customHeight="1" x14ac:dyDescent="0.25">
      <c r="B54" s="25"/>
      <c r="C54" s="25" t="s">
        <v>161</v>
      </c>
      <c r="D54" s="25"/>
      <c r="E54" s="25" t="s">
        <v>161</v>
      </c>
    </row>
    <row r="55" spans="1:10" ht="15" customHeight="1" x14ac:dyDescent="0.25">
      <c r="B55" s="25" t="s">
        <v>209</v>
      </c>
      <c r="C55" s="25">
        <v>7.26</v>
      </c>
      <c r="D55" s="25" t="s">
        <v>210</v>
      </c>
      <c r="E55" s="25">
        <v>24.04</v>
      </c>
    </row>
    <row r="56" spans="1:10" ht="15" customHeight="1" x14ac:dyDescent="0.25">
      <c r="B56" s="25" t="s">
        <v>209</v>
      </c>
      <c r="C56" s="25">
        <v>8.4</v>
      </c>
      <c r="D56" s="25" t="s">
        <v>210</v>
      </c>
      <c r="E56" s="25">
        <v>13.81</v>
      </c>
    </row>
    <row r="57" spans="1:10" ht="15" customHeight="1" x14ac:dyDescent="0.25">
      <c r="B57" s="25" t="s">
        <v>209</v>
      </c>
      <c r="C57" s="25">
        <v>5.4</v>
      </c>
      <c r="D57" s="25" t="s">
        <v>210</v>
      </c>
      <c r="E57" s="25">
        <v>5.84</v>
      </c>
    </row>
    <row r="58" spans="1:10" ht="15" customHeight="1" x14ac:dyDescent="0.25"/>
    <row r="59" spans="1:10" ht="15" customHeight="1" x14ac:dyDescent="0.25">
      <c r="B59" s="25" t="s">
        <v>209</v>
      </c>
      <c r="C59" s="27">
        <f>C55*E55+C56*E56+C57*E57</f>
        <v>322.07040000000001</v>
      </c>
      <c r="D59" s="25" t="s">
        <v>147</v>
      </c>
    </row>
    <row r="60" spans="1:10" ht="15" customHeight="1" x14ac:dyDescent="0.25"/>
    <row r="61" spans="1:10" ht="15" customHeight="1" x14ac:dyDescent="0.25">
      <c r="A61" s="24" t="s">
        <v>37</v>
      </c>
      <c r="B61" s="187" t="s">
        <v>224</v>
      </c>
      <c r="C61" s="188"/>
      <c r="D61" s="188"/>
      <c r="E61" s="188"/>
      <c r="F61" s="188"/>
      <c r="G61" s="188"/>
      <c r="H61" s="188"/>
      <c r="I61" s="188"/>
      <c r="J61" s="189"/>
    </row>
    <row r="62" spans="1:10" ht="15" customHeight="1" x14ac:dyDescent="0.25"/>
    <row r="63" spans="1:10" ht="15" customHeight="1" x14ac:dyDescent="0.25">
      <c r="B63" s="25"/>
      <c r="C63" s="25" t="s">
        <v>161</v>
      </c>
      <c r="D63" s="25"/>
      <c r="E63" s="25" t="s">
        <v>161</v>
      </c>
    </row>
    <row r="64" spans="1:10" ht="15" customHeight="1" x14ac:dyDescent="0.25">
      <c r="B64" s="25" t="s">
        <v>209</v>
      </c>
      <c r="C64" s="25">
        <v>7.26</v>
      </c>
      <c r="D64" s="25" t="s">
        <v>210</v>
      </c>
      <c r="E64" s="25">
        <v>24.04</v>
      </c>
    </row>
    <row r="65" spans="1:10" ht="15" customHeight="1" x14ac:dyDescent="0.25">
      <c r="B65" s="25" t="s">
        <v>209</v>
      </c>
      <c r="C65" s="25">
        <v>8.4</v>
      </c>
      <c r="D65" s="25" t="s">
        <v>210</v>
      </c>
      <c r="E65" s="25">
        <v>13.81</v>
      </c>
    </row>
    <row r="66" spans="1:10" ht="15" customHeight="1" x14ac:dyDescent="0.25">
      <c r="B66" s="25" t="s">
        <v>209</v>
      </c>
      <c r="C66" s="25">
        <v>5.4</v>
      </c>
      <c r="D66" s="25" t="s">
        <v>210</v>
      </c>
      <c r="E66" s="25">
        <v>5.84</v>
      </c>
    </row>
    <row r="67" spans="1:10" ht="15" customHeight="1" x14ac:dyDescent="0.25"/>
    <row r="68" spans="1:10" ht="15" customHeight="1" x14ac:dyDescent="0.25">
      <c r="B68" s="25" t="s">
        <v>209</v>
      </c>
      <c r="C68" s="27">
        <f>C64*E64+C65*E65+C66*E66</f>
        <v>322.07040000000001</v>
      </c>
      <c r="D68" s="25" t="s">
        <v>147</v>
      </c>
    </row>
    <row r="69" spans="1:10" ht="15" customHeight="1" x14ac:dyDescent="0.25"/>
    <row r="70" spans="1:10" ht="15" customHeight="1" x14ac:dyDescent="0.25">
      <c r="A70" s="24" t="s">
        <v>38</v>
      </c>
      <c r="B70" s="187" t="s">
        <v>225</v>
      </c>
      <c r="C70" s="188"/>
      <c r="D70" s="188"/>
      <c r="E70" s="188"/>
      <c r="F70" s="188"/>
      <c r="G70" s="188"/>
      <c r="H70" s="188"/>
      <c r="I70" s="188"/>
      <c r="J70" s="189"/>
    </row>
    <row r="71" spans="1:10" ht="15" customHeight="1" x14ac:dyDescent="0.25"/>
    <row r="72" spans="1:10" ht="15" customHeight="1" x14ac:dyDescent="0.25">
      <c r="B72" s="25"/>
      <c r="C72" s="25" t="s">
        <v>161</v>
      </c>
      <c r="D72" s="25"/>
      <c r="E72" s="25" t="s">
        <v>161</v>
      </c>
    </row>
    <row r="73" spans="1:10" ht="15" customHeight="1" x14ac:dyDescent="0.25">
      <c r="B73" s="25" t="s">
        <v>209</v>
      </c>
      <c r="C73" s="25">
        <v>7.26</v>
      </c>
      <c r="D73" s="25" t="s">
        <v>210</v>
      </c>
      <c r="E73" s="25">
        <v>24.04</v>
      </c>
    </row>
    <row r="74" spans="1:10" ht="15" customHeight="1" x14ac:dyDescent="0.25">
      <c r="B74" s="25" t="s">
        <v>209</v>
      </c>
      <c r="C74" s="25">
        <v>8.4</v>
      </c>
      <c r="D74" s="25" t="s">
        <v>210</v>
      </c>
      <c r="E74" s="25">
        <v>13.81</v>
      </c>
    </row>
    <row r="75" spans="1:10" ht="15" customHeight="1" x14ac:dyDescent="0.25">
      <c r="B75" s="25" t="s">
        <v>209</v>
      </c>
      <c r="C75" s="25">
        <v>5.4</v>
      </c>
      <c r="D75" s="25" t="s">
        <v>210</v>
      </c>
      <c r="E75" s="25">
        <v>5.84</v>
      </c>
    </row>
    <row r="76" spans="1:10" ht="15" customHeight="1" x14ac:dyDescent="0.25"/>
    <row r="77" spans="1:10" ht="15" customHeight="1" x14ac:dyDescent="0.25">
      <c r="B77" s="25" t="s">
        <v>209</v>
      </c>
      <c r="C77" s="27">
        <f>C73*E73+C74*E74+C75*E75</f>
        <v>322.07040000000001</v>
      </c>
      <c r="D77" s="25" t="s">
        <v>147</v>
      </c>
    </row>
    <row r="78" spans="1:10" ht="15" customHeight="1" x14ac:dyDescent="0.25"/>
    <row r="79" spans="1:10" ht="15" customHeight="1" x14ac:dyDescent="0.25">
      <c r="A79" s="24" t="s">
        <v>39</v>
      </c>
      <c r="B79" s="187" t="s">
        <v>226</v>
      </c>
      <c r="C79" s="188"/>
      <c r="D79" s="188"/>
      <c r="E79" s="188"/>
      <c r="F79" s="188"/>
      <c r="G79" s="188"/>
      <c r="H79" s="188"/>
      <c r="I79" s="188"/>
      <c r="J79" s="189"/>
    </row>
    <row r="80" spans="1:10" ht="15" customHeight="1" x14ac:dyDescent="0.25"/>
    <row r="81" spans="1:10" ht="15" customHeight="1" x14ac:dyDescent="0.25">
      <c r="B81" s="25"/>
      <c r="C81" s="25" t="s">
        <v>161</v>
      </c>
      <c r="D81" s="25"/>
      <c r="E81" s="25" t="s">
        <v>161</v>
      </c>
    </row>
    <row r="82" spans="1:10" ht="15" customHeight="1" x14ac:dyDescent="0.25">
      <c r="B82" s="25" t="s">
        <v>209</v>
      </c>
      <c r="C82" s="25">
        <v>7.26</v>
      </c>
      <c r="D82" s="25" t="s">
        <v>210</v>
      </c>
      <c r="E82" s="25">
        <v>24.04</v>
      </c>
    </row>
    <row r="83" spans="1:10" ht="15" customHeight="1" x14ac:dyDescent="0.25">
      <c r="B83" s="25" t="s">
        <v>209</v>
      </c>
      <c r="C83" s="25">
        <v>8.4</v>
      </c>
      <c r="D83" s="25" t="s">
        <v>210</v>
      </c>
      <c r="E83" s="25">
        <v>13.81</v>
      </c>
    </row>
    <row r="84" spans="1:10" ht="15" customHeight="1" x14ac:dyDescent="0.25">
      <c r="B84" s="25" t="s">
        <v>209</v>
      </c>
      <c r="C84" s="25">
        <v>5.4</v>
      </c>
      <c r="D84" s="25" t="s">
        <v>210</v>
      </c>
      <c r="E84" s="25">
        <v>5.84</v>
      </c>
    </row>
    <row r="85" spans="1:10" ht="15" customHeight="1" x14ac:dyDescent="0.25"/>
    <row r="86" spans="1:10" ht="15" customHeight="1" x14ac:dyDescent="0.25">
      <c r="B86" s="25" t="s">
        <v>209</v>
      </c>
      <c r="C86" s="27">
        <f>C82*E82+C83*E83+C84*E84</f>
        <v>322.07040000000001</v>
      </c>
      <c r="D86" s="25" t="s">
        <v>147</v>
      </c>
    </row>
    <row r="87" spans="1:10" ht="15" customHeight="1" x14ac:dyDescent="0.25"/>
    <row r="88" spans="1:10" ht="15" customHeight="1" x14ac:dyDescent="0.25">
      <c r="A88" s="24" t="s">
        <v>40</v>
      </c>
      <c r="B88" s="187" t="s">
        <v>227</v>
      </c>
      <c r="C88" s="188"/>
      <c r="D88" s="188"/>
      <c r="E88" s="188"/>
      <c r="F88" s="188"/>
      <c r="G88" s="188"/>
      <c r="H88" s="188"/>
      <c r="I88" s="188"/>
      <c r="J88" s="189"/>
    </row>
    <row r="89" spans="1:10" ht="15" customHeight="1" x14ac:dyDescent="0.25"/>
    <row r="90" spans="1:10" ht="15" customHeight="1" x14ac:dyDescent="0.25">
      <c r="B90" s="25"/>
      <c r="C90" s="25" t="s">
        <v>161</v>
      </c>
      <c r="D90" s="25"/>
      <c r="E90" s="25" t="s">
        <v>161</v>
      </c>
    </row>
    <row r="91" spans="1:10" ht="15" customHeight="1" x14ac:dyDescent="0.25">
      <c r="B91" s="25" t="s">
        <v>209</v>
      </c>
      <c r="C91" s="25">
        <v>7.26</v>
      </c>
      <c r="D91" s="25" t="s">
        <v>210</v>
      </c>
      <c r="E91" s="25">
        <v>24.04</v>
      </c>
    </row>
    <row r="92" spans="1:10" ht="15" customHeight="1" x14ac:dyDescent="0.25">
      <c r="B92" s="25" t="s">
        <v>209</v>
      </c>
      <c r="C92" s="25">
        <v>8.4</v>
      </c>
      <c r="D92" s="25" t="s">
        <v>210</v>
      </c>
      <c r="E92" s="25">
        <v>13.81</v>
      </c>
    </row>
    <row r="93" spans="1:10" ht="15" customHeight="1" x14ac:dyDescent="0.25">
      <c r="B93" s="25" t="s">
        <v>209</v>
      </c>
      <c r="C93" s="25">
        <v>5.4</v>
      </c>
      <c r="D93" s="25" t="s">
        <v>210</v>
      </c>
      <c r="E93" s="25">
        <v>5.84</v>
      </c>
    </row>
    <row r="94" spans="1:10" ht="15" customHeight="1" x14ac:dyDescent="0.25"/>
    <row r="95" spans="1:10" ht="15" customHeight="1" x14ac:dyDescent="0.25">
      <c r="B95" s="25" t="s">
        <v>209</v>
      </c>
      <c r="C95" s="27">
        <f>C91*E91+C92*E92+C93*E93</f>
        <v>322.07040000000001</v>
      </c>
      <c r="D95" s="25" t="s">
        <v>147</v>
      </c>
    </row>
    <row r="96" spans="1:10" ht="15" customHeight="1" x14ac:dyDescent="0.25">
      <c r="B96" s="32"/>
      <c r="C96" s="33"/>
      <c r="D96" s="32"/>
    </row>
    <row r="97" spans="1:10" ht="15" customHeight="1" x14ac:dyDescent="0.25">
      <c r="A97" s="23">
        <v>4</v>
      </c>
      <c r="B97" s="190" t="s">
        <v>17</v>
      </c>
      <c r="C97" s="191"/>
      <c r="D97" s="191"/>
      <c r="E97" s="191"/>
      <c r="F97" s="191"/>
      <c r="G97" s="191"/>
      <c r="H97" s="191"/>
      <c r="I97" s="191"/>
      <c r="J97" s="192"/>
    </row>
    <row r="98" spans="1:10" ht="15" customHeight="1" x14ac:dyDescent="0.25">
      <c r="A98" s="24" t="s">
        <v>41</v>
      </c>
      <c r="B98" s="187" t="s">
        <v>84</v>
      </c>
      <c r="C98" s="188"/>
      <c r="D98" s="188"/>
      <c r="E98" s="188"/>
      <c r="F98" s="188"/>
      <c r="G98" s="188"/>
      <c r="H98" s="188"/>
      <c r="I98" s="188"/>
      <c r="J98" s="189"/>
    </row>
    <row r="99" spans="1:10" ht="15" customHeight="1" x14ac:dyDescent="0.25">
      <c r="B99" s="32"/>
      <c r="C99" s="33"/>
      <c r="D99" s="32"/>
    </row>
    <row r="100" spans="1:10" ht="15" customHeight="1" x14ac:dyDescent="0.25">
      <c r="B100" s="25"/>
      <c r="C100" s="25" t="s">
        <v>161</v>
      </c>
      <c r="D100" s="25"/>
      <c r="E100" s="25" t="s">
        <v>161</v>
      </c>
      <c r="F100" s="25"/>
      <c r="G100" s="25" t="s">
        <v>161</v>
      </c>
      <c r="H100" s="25"/>
      <c r="I100" s="25" t="s">
        <v>212</v>
      </c>
    </row>
    <row r="101" spans="1:10" ht="15" customHeight="1" x14ac:dyDescent="0.25">
      <c r="B101" s="25" t="s">
        <v>209</v>
      </c>
      <c r="C101" s="25">
        <v>0.8</v>
      </c>
      <c r="D101" s="25" t="s">
        <v>210</v>
      </c>
      <c r="E101" s="25">
        <v>1</v>
      </c>
      <c r="F101" s="25" t="s">
        <v>210</v>
      </c>
      <c r="G101" s="25">
        <v>0.38</v>
      </c>
      <c r="H101" s="25" t="s">
        <v>210</v>
      </c>
      <c r="I101" s="25">
        <v>6</v>
      </c>
    </row>
    <row r="102" spans="1:10" ht="15" customHeight="1" x14ac:dyDescent="0.25">
      <c r="B102" s="25" t="s">
        <v>209</v>
      </c>
      <c r="C102" s="25">
        <v>0.5</v>
      </c>
      <c r="D102" s="25" t="s">
        <v>210</v>
      </c>
      <c r="E102" s="25">
        <v>0.9</v>
      </c>
      <c r="F102" s="25" t="s">
        <v>210</v>
      </c>
      <c r="G102" s="25">
        <v>0.38</v>
      </c>
      <c r="H102" s="25" t="s">
        <v>210</v>
      </c>
      <c r="I102" s="25">
        <v>11</v>
      </c>
    </row>
    <row r="103" spans="1:10" ht="15" customHeight="1" x14ac:dyDescent="0.25">
      <c r="B103" s="25" t="s">
        <v>209</v>
      </c>
      <c r="C103" s="25">
        <v>0.4</v>
      </c>
      <c r="D103" s="25" t="s">
        <v>210</v>
      </c>
      <c r="E103" s="25">
        <v>0.6</v>
      </c>
      <c r="F103" s="25" t="s">
        <v>210</v>
      </c>
      <c r="G103" s="25">
        <v>0.38</v>
      </c>
      <c r="H103" s="25" t="s">
        <v>210</v>
      </c>
      <c r="I103" s="25">
        <v>19</v>
      </c>
    </row>
    <row r="104" spans="1:10" ht="15" customHeight="1" x14ac:dyDescent="0.25">
      <c r="B104" s="25" t="s">
        <v>209</v>
      </c>
      <c r="C104" s="25">
        <v>0.6</v>
      </c>
      <c r="D104" s="25" t="s">
        <v>210</v>
      </c>
      <c r="E104" s="25">
        <v>0.6</v>
      </c>
      <c r="F104" s="25" t="s">
        <v>210</v>
      </c>
      <c r="G104" s="25">
        <v>0.38</v>
      </c>
      <c r="H104" s="25" t="s">
        <v>210</v>
      </c>
      <c r="I104" s="25">
        <v>5</v>
      </c>
    </row>
    <row r="105" spans="1:10" ht="15" customHeight="1" x14ac:dyDescent="0.25">
      <c r="B105" s="32"/>
      <c r="C105" s="33"/>
      <c r="D105" s="32"/>
    </row>
    <row r="106" spans="1:10" ht="15" customHeight="1" x14ac:dyDescent="0.25">
      <c r="B106" s="25" t="s">
        <v>209</v>
      </c>
      <c r="C106" s="27">
        <f>C101*E101*G101*I101+C102*E102*G102*I102+C103*E103*G103*I103+C104*E104*G104*I104</f>
        <v>6.1218000000000012</v>
      </c>
      <c r="D106" s="25" t="s">
        <v>158</v>
      </c>
    </row>
    <row r="107" spans="1:10" ht="15" customHeight="1" x14ac:dyDescent="0.25">
      <c r="B107" s="32"/>
      <c r="C107" s="33"/>
      <c r="D107" s="32"/>
    </row>
    <row r="108" spans="1:10" ht="15" customHeight="1" x14ac:dyDescent="0.25">
      <c r="A108" s="24" t="s">
        <v>148</v>
      </c>
      <c r="B108" s="187" t="s">
        <v>85</v>
      </c>
      <c r="C108" s="188"/>
      <c r="D108" s="188"/>
      <c r="E108" s="188"/>
      <c r="F108" s="188"/>
      <c r="G108" s="188"/>
      <c r="H108" s="188"/>
      <c r="I108" s="188"/>
      <c r="J108" s="189"/>
    </row>
    <row r="109" spans="1:10" ht="15" customHeight="1" x14ac:dyDescent="0.25">
      <c r="B109" s="32"/>
      <c r="C109" s="33"/>
      <c r="D109" s="32"/>
    </row>
    <row r="110" spans="1:10" ht="15" customHeight="1" x14ac:dyDescent="0.25">
      <c r="B110" s="25"/>
      <c r="C110" s="25" t="s">
        <v>161</v>
      </c>
      <c r="D110" s="25"/>
      <c r="E110" s="25" t="s">
        <v>161</v>
      </c>
      <c r="F110" s="25"/>
      <c r="G110" s="25" t="s">
        <v>161</v>
      </c>
    </row>
    <row r="111" spans="1:10" ht="15" customHeight="1" x14ac:dyDescent="0.25">
      <c r="B111" s="25" t="s">
        <v>209</v>
      </c>
      <c r="C111" s="25">
        <v>0.3</v>
      </c>
      <c r="D111" s="25" t="s">
        <v>210</v>
      </c>
      <c r="E111" s="25">
        <v>0.2</v>
      </c>
      <c r="F111" s="25" t="s">
        <v>210</v>
      </c>
      <c r="G111" s="25">
        <v>100</v>
      </c>
    </row>
    <row r="112" spans="1:10" ht="15" customHeight="1" x14ac:dyDescent="0.25">
      <c r="B112" s="32"/>
      <c r="C112" s="33"/>
      <c r="D112" s="32"/>
    </row>
    <row r="113" spans="1:10" ht="15" customHeight="1" x14ac:dyDescent="0.25">
      <c r="B113" s="25" t="s">
        <v>209</v>
      </c>
      <c r="C113" s="27">
        <f>C111*E111*G111</f>
        <v>6</v>
      </c>
      <c r="D113" s="25" t="s">
        <v>158</v>
      </c>
    </row>
    <row r="114" spans="1:10" ht="15" customHeight="1" x14ac:dyDescent="0.25">
      <c r="B114" s="32"/>
      <c r="C114" s="33"/>
      <c r="D114" s="32"/>
    </row>
    <row r="115" spans="1:10" ht="15" customHeight="1" x14ac:dyDescent="0.25">
      <c r="A115" s="24" t="s">
        <v>149</v>
      </c>
      <c r="B115" s="187" t="s">
        <v>24</v>
      </c>
      <c r="C115" s="188"/>
      <c r="D115" s="188"/>
      <c r="E115" s="188"/>
      <c r="F115" s="188"/>
      <c r="G115" s="188"/>
      <c r="H115" s="188"/>
      <c r="I115" s="188"/>
      <c r="J115" s="189"/>
    </row>
    <row r="116" spans="1:10" ht="15" customHeight="1" x14ac:dyDescent="0.25">
      <c r="B116" s="32"/>
      <c r="C116" s="33"/>
      <c r="D116" s="32"/>
    </row>
    <row r="117" spans="1:10" ht="15" customHeight="1" x14ac:dyDescent="0.25">
      <c r="B117" s="25"/>
      <c r="C117" s="25" t="s">
        <v>161</v>
      </c>
      <c r="D117" s="25"/>
      <c r="E117" s="25" t="s">
        <v>161</v>
      </c>
      <c r="F117" s="25"/>
      <c r="G117" s="25" t="s">
        <v>161</v>
      </c>
      <c r="H117" s="25"/>
      <c r="I117" s="25" t="s">
        <v>212</v>
      </c>
    </row>
    <row r="118" spans="1:10" ht="15" customHeight="1" x14ac:dyDescent="0.25">
      <c r="B118" s="25" t="s">
        <v>209</v>
      </c>
      <c r="C118" s="25">
        <v>0.8</v>
      </c>
      <c r="D118" s="25" t="s">
        <v>210</v>
      </c>
      <c r="E118" s="25">
        <v>1</v>
      </c>
      <c r="F118" s="25" t="s">
        <v>210</v>
      </c>
      <c r="G118" s="25">
        <v>0.05</v>
      </c>
      <c r="H118" s="25" t="s">
        <v>210</v>
      </c>
      <c r="I118" s="25">
        <v>6</v>
      </c>
    </row>
    <row r="119" spans="1:10" ht="15" customHeight="1" x14ac:dyDescent="0.25">
      <c r="B119" s="25" t="s">
        <v>209</v>
      </c>
      <c r="C119" s="25">
        <v>0.5</v>
      </c>
      <c r="D119" s="25" t="s">
        <v>210</v>
      </c>
      <c r="E119" s="25">
        <v>0.9</v>
      </c>
      <c r="F119" s="25" t="s">
        <v>210</v>
      </c>
      <c r="G119" s="25">
        <v>0.05</v>
      </c>
      <c r="H119" s="25" t="s">
        <v>210</v>
      </c>
      <c r="I119" s="25">
        <v>11</v>
      </c>
    </row>
    <row r="120" spans="1:10" ht="15" customHeight="1" x14ac:dyDescent="0.25">
      <c r="B120" s="25" t="s">
        <v>209</v>
      </c>
      <c r="C120" s="25">
        <v>0.4</v>
      </c>
      <c r="D120" s="25" t="s">
        <v>210</v>
      </c>
      <c r="E120" s="25">
        <v>0.6</v>
      </c>
      <c r="F120" s="25" t="s">
        <v>210</v>
      </c>
      <c r="G120" s="25">
        <v>0.05</v>
      </c>
      <c r="H120" s="25" t="s">
        <v>210</v>
      </c>
      <c r="I120" s="25">
        <v>19</v>
      </c>
    </row>
    <row r="121" spans="1:10" ht="15" customHeight="1" x14ac:dyDescent="0.25">
      <c r="B121" s="25" t="s">
        <v>209</v>
      </c>
      <c r="C121" s="25">
        <v>0.6</v>
      </c>
      <c r="D121" s="25" t="s">
        <v>210</v>
      </c>
      <c r="E121" s="25">
        <v>0.6</v>
      </c>
      <c r="F121" s="25" t="s">
        <v>210</v>
      </c>
      <c r="G121" s="25">
        <v>0.05</v>
      </c>
      <c r="H121" s="25" t="s">
        <v>210</v>
      </c>
      <c r="I121" s="25">
        <v>5</v>
      </c>
    </row>
    <row r="122" spans="1:10" ht="15" customHeight="1" x14ac:dyDescent="0.25">
      <c r="B122" s="32"/>
      <c r="C122" s="33"/>
      <c r="D122" s="32"/>
    </row>
    <row r="123" spans="1:10" ht="15" customHeight="1" x14ac:dyDescent="0.25">
      <c r="B123" s="25" t="s">
        <v>209</v>
      </c>
      <c r="C123" s="27">
        <f>C118*E118*G118*I118+C119*E119*G119*I119+C120*E120*G120*I120+C121*E121*G121*I121</f>
        <v>0.80549999999999999</v>
      </c>
      <c r="D123" s="25" t="s">
        <v>158</v>
      </c>
    </row>
    <row r="124" spans="1:10" ht="15" customHeight="1" x14ac:dyDescent="0.25">
      <c r="B124" s="32"/>
      <c r="C124" s="33"/>
      <c r="D124" s="32"/>
    </row>
    <row r="125" spans="1:10" ht="15" customHeight="1" x14ac:dyDescent="0.25">
      <c r="A125" s="24" t="s">
        <v>150</v>
      </c>
      <c r="B125" s="187" t="s">
        <v>22</v>
      </c>
      <c r="C125" s="188"/>
      <c r="D125" s="188"/>
      <c r="E125" s="188"/>
      <c r="F125" s="188"/>
      <c r="G125" s="188"/>
      <c r="H125" s="188"/>
      <c r="I125" s="188"/>
      <c r="J125" s="189"/>
    </row>
    <row r="126" spans="1:10" ht="15" customHeight="1" x14ac:dyDescent="0.25">
      <c r="B126" s="32"/>
      <c r="C126" s="33"/>
      <c r="D126" s="32"/>
    </row>
    <row r="127" spans="1:10" ht="15" customHeight="1" x14ac:dyDescent="0.25">
      <c r="B127" s="25"/>
      <c r="C127" s="25" t="s">
        <v>161</v>
      </c>
      <c r="D127" s="25"/>
      <c r="E127" s="25" t="s">
        <v>161</v>
      </c>
      <c r="F127" s="25"/>
      <c r="G127" s="25" t="s">
        <v>212</v>
      </c>
      <c r="H127" s="25"/>
      <c r="I127" s="25" t="s">
        <v>212</v>
      </c>
    </row>
    <row r="128" spans="1:10" ht="15" customHeight="1" x14ac:dyDescent="0.25">
      <c r="B128" s="25" t="s">
        <v>209</v>
      </c>
      <c r="C128" s="25">
        <v>0.8</v>
      </c>
      <c r="D128" s="25" t="s">
        <v>210</v>
      </c>
      <c r="E128" s="25">
        <v>0.38</v>
      </c>
      <c r="F128" s="25" t="s">
        <v>210</v>
      </c>
      <c r="G128" s="25">
        <v>2</v>
      </c>
      <c r="H128" s="25" t="s">
        <v>210</v>
      </c>
      <c r="I128" s="25">
        <v>6</v>
      </c>
    </row>
    <row r="129" spans="1:10" ht="15" customHeight="1" x14ac:dyDescent="0.25">
      <c r="B129" s="25" t="s">
        <v>209</v>
      </c>
      <c r="C129" s="25">
        <v>1</v>
      </c>
      <c r="D129" s="25" t="s">
        <v>210</v>
      </c>
      <c r="E129" s="25">
        <v>0.38</v>
      </c>
      <c r="F129" s="25" t="s">
        <v>210</v>
      </c>
      <c r="G129" s="25">
        <v>2</v>
      </c>
      <c r="H129" s="25" t="s">
        <v>210</v>
      </c>
      <c r="I129" s="25">
        <v>6</v>
      </c>
    </row>
    <row r="130" spans="1:10" ht="15" customHeight="1" x14ac:dyDescent="0.25">
      <c r="B130" s="25" t="s">
        <v>209</v>
      </c>
      <c r="C130" s="25">
        <v>0.5</v>
      </c>
      <c r="D130" s="25" t="s">
        <v>210</v>
      </c>
      <c r="E130" s="25">
        <v>0.38</v>
      </c>
      <c r="F130" s="25" t="s">
        <v>210</v>
      </c>
      <c r="G130" s="25">
        <v>2</v>
      </c>
      <c r="H130" s="25" t="s">
        <v>210</v>
      </c>
      <c r="I130" s="25">
        <v>11</v>
      </c>
    </row>
    <row r="131" spans="1:10" ht="15" customHeight="1" x14ac:dyDescent="0.25">
      <c r="B131" s="25" t="s">
        <v>209</v>
      </c>
      <c r="C131" s="25">
        <v>0.9</v>
      </c>
      <c r="D131" s="25" t="s">
        <v>210</v>
      </c>
      <c r="E131" s="25">
        <v>0.38</v>
      </c>
      <c r="F131" s="25" t="s">
        <v>210</v>
      </c>
      <c r="G131" s="25">
        <v>2</v>
      </c>
      <c r="H131" s="25" t="s">
        <v>210</v>
      </c>
      <c r="I131" s="25">
        <v>11</v>
      </c>
    </row>
    <row r="132" spans="1:10" ht="15" customHeight="1" x14ac:dyDescent="0.25">
      <c r="B132" s="25" t="s">
        <v>209</v>
      </c>
      <c r="C132" s="25">
        <v>0.4</v>
      </c>
      <c r="D132" s="25" t="s">
        <v>210</v>
      </c>
      <c r="E132" s="25">
        <v>0.38</v>
      </c>
      <c r="F132" s="25" t="s">
        <v>210</v>
      </c>
      <c r="G132" s="25">
        <v>2</v>
      </c>
      <c r="H132" s="25" t="s">
        <v>210</v>
      </c>
      <c r="I132" s="25">
        <v>19</v>
      </c>
    </row>
    <row r="133" spans="1:10" ht="15" customHeight="1" x14ac:dyDescent="0.25">
      <c r="B133" s="25" t="s">
        <v>209</v>
      </c>
      <c r="C133" s="25">
        <v>0.6</v>
      </c>
      <c r="D133" s="25" t="s">
        <v>210</v>
      </c>
      <c r="E133" s="25">
        <v>0.38</v>
      </c>
      <c r="F133" s="25" t="s">
        <v>210</v>
      </c>
      <c r="G133" s="25">
        <v>2</v>
      </c>
      <c r="H133" s="25" t="s">
        <v>210</v>
      </c>
      <c r="I133" s="25">
        <v>19</v>
      </c>
    </row>
    <row r="134" spans="1:10" ht="15" customHeight="1" x14ac:dyDescent="0.25">
      <c r="B134" s="25" t="s">
        <v>209</v>
      </c>
      <c r="C134" s="25">
        <v>0.6</v>
      </c>
      <c r="D134" s="25" t="s">
        <v>210</v>
      </c>
      <c r="E134" s="25">
        <v>0.38</v>
      </c>
      <c r="F134" s="25" t="s">
        <v>210</v>
      </c>
      <c r="G134" s="25">
        <v>2</v>
      </c>
      <c r="H134" s="25" t="s">
        <v>210</v>
      </c>
      <c r="I134" s="25">
        <v>5</v>
      </c>
    </row>
    <row r="135" spans="1:10" ht="15" customHeight="1" x14ac:dyDescent="0.25">
      <c r="B135" s="25" t="s">
        <v>209</v>
      </c>
      <c r="C135" s="25">
        <v>0.6</v>
      </c>
      <c r="D135" s="25" t="s">
        <v>210</v>
      </c>
      <c r="E135" s="25">
        <v>0.38</v>
      </c>
      <c r="F135" s="25" t="s">
        <v>210</v>
      </c>
      <c r="G135" s="25">
        <v>2</v>
      </c>
      <c r="H135" s="25" t="s">
        <v>210</v>
      </c>
      <c r="I135" s="25">
        <v>5</v>
      </c>
    </row>
    <row r="136" spans="1:10" ht="15" customHeight="1" x14ac:dyDescent="0.25">
      <c r="B136" s="32"/>
      <c r="C136" s="33"/>
      <c r="D136" s="32"/>
    </row>
    <row r="137" spans="1:10" ht="15" customHeight="1" x14ac:dyDescent="0.25">
      <c r="B137" s="25" t="s">
        <v>209</v>
      </c>
      <c r="C137" s="27">
        <f>C128*E128*G128*I128+C129*E129*G129*I129+C130*E130*G130*I130+C131*E131*G131*I131+C132*E132*G132*I132+C133*E133*G133*I133+C134*E134*G134*I134+C135*E135*G135*I135</f>
        <v>38.912000000000006</v>
      </c>
      <c r="D137" s="25" t="s">
        <v>147</v>
      </c>
    </row>
    <row r="138" spans="1:10" ht="15" customHeight="1" x14ac:dyDescent="0.25">
      <c r="B138" s="32"/>
      <c r="C138" s="33"/>
      <c r="D138" s="32"/>
    </row>
    <row r="139" spans="1:10" ht="15" customHeight="1" x14ac:dyDescent="0.25">
      <c r="A139" s="24" t="s">
        <v>151</v>
      </c>
      <c r="B139" s="187" t="s">
        <v>23</v>
      </c>
      <c r="C139" s="188"/>
      <c r="D139" s="188"/>
      <c r="E139" s="188"/>
      <c r="F139" s="188"/>
      <c r="G139" s="188"/>
      <c r="H139" s="188"/>
      <c r="I139" s="188"/>
      <c r="J139" s="189"/>
    </row>
    <row r="140" spans="1:10" ht="15" customHeight="1" x14ac:dyDescent="0.25">
      <c r="B140" s="32"/>
      <c r="C140" s="33"/>
      <c r="D140" s="32"/>
    </row>
    <row r="141" spans="1:10" ht="15" customHeight="1" x14ac:dyDescent="0.25">
      <c r="B141" s="25"/>
      <c r="C141" s="25" t="s">
        <v>161</v>
      </c>
      <c r="D141" s="25"/>
      <c r="E141" s="25" t="s">
        <v>161</v>
      </c>
      <c r="F141" s="25"/>
      <c r="G141" s="25" t="s">
        <v>161</v>
      </c>
      <c r="H141" s="25"/>
      <c r="I141" s="25" t="s">
        <v>212</v>
      </c>
    </row>
    <row r="142" spans="1:10" ht="15" customHeight="1" x14ac:dyDescent="0.25">
      <c r="B142" s="25" t="s">
        <v>209</v>
      </c>
      <c r="C142" s="25">
        <v>0.8</v>
      </c>
      <c r="D142" s="25" t="s">
        <v>210</v>
      </c>
      <c r="E142" s="25">
        <v>1</v>
      </c>
      <c r="F142" s="25" t="s">
        <v>210</v>
      </c>
      <c r="G142" s="25">
        <v>0.38</v>
      </c>
      <c r="H142" s="25" t="s">
        <v>210</v>
      </c>
      <c r="I142" s="25">
        <v>6</v>
      </c>
    </row>
    <row r="143" spans="1:10" ht="15" customHeight="1" x14ac:dyDescent="0.25">
      <c r="B143" s="25" t="s">
        <v>209</v>
      </c>
      <c r="C143" s="25">
        <v>0.5</v>
      </c>
      <c r="D143" s="25" t="s">
        <v>210</v>
      </c>
      <c r="E143" s="25">
        <v>0.9</v>
      </c>
      <c r="F143" s="25" t="s">
        <v>210</v>
      </c>
      <c r="G143" s="25">
        <v>0.38</v>
      </c>
      <c r="H143" s="25" t="s">
        <v>210</v>
      </c>
      <c r="I143" s="25">
        <v>11</v>
      </c>
    </row>
    <row r="144" spans="1:10" ht="15" customHeight="1" x14ac:dyDescent="0.25">
      <c r="B144" s="25" t="s">
        <v>209</v>
      </c>
      <c r="C144" s="25">
        <v>0.4</v>
      </c>
      <c r="D144" s="25" t="s">
        <v>210</v>
      </c>
      <c r="E144" s="25">
        <v>0.6</v>
      </c>
      <c r="F144" s="25" t="s">
        <v>210</v>
      </c>
      <c r="G144" s="25">
        <v>0.38</v>
      </c>
      <c r="H144" s="25" t="s">
        <v>210</v>
      </c>
      <c r="I144" s="25">
        <v>19</v>
      </c>
    </row>
    <row r="145" spans="1:10" ht="15" customHeight="1" x14ac:dyDescent="0.25">
      <c r="B145" s="25" t="s">
        <v>209</v>
      </c>
      <c r="C145" s="25">
        <v>0.6</v>
      </c>
      <c r="D145" s="25" t="s">
        <v>210</v>
      </c>
      <c r="E145" s="25">
        <v>0.6</v>
      </c>
      <c r="F145" s="25" t="s">
        <v>210</v>
      </c>
      <c r="G145" s="25">
        <v>0.38</v>
      </c>
      <c r="H145" s="25" t="s">
        <v>210</v>
      </c>
      <c r="I145" s="25">
        <v>5</v>
      </c>
    </row>
    <row r="146" spans="1:10" ht="15" customHeight="1" x14ac:dyDescent="0.25">
      <c r="B146" s="32"/>
      <c r="C146" s="33"/>
      <c r="D146" s="32"/>
    </row>
    <row r="147" spans="1:10" ht="15" customHeight="1" x14ac:dyDescent="0.25">
      <c r="B147" s="25" t="s">
        <v>209</v>
      </c>
      <c r="C147" s="27">
        <f>C142*E142*G142*I142+C143*E143*G143*I143+C144*E144*G144*I144+C145*E145*G145*I145</f>
        <v>6.1218000000000012</v>
      </c>
      <c r="D147" s="25" t="s">
        <v>158</v>
      </c>
    </row>
    <row r="148" spans="1:10" ht="15" customHeight="1" x14ac:dyDescent="0.25">
      <c r="B148" s="32"/>
      <c r="C148" s="33"/>
      <c r="D148" s="32"/>
    </row>
    <row r="149" spans="1:10" ht="15" customHeight="1" x14ac:dyDescent="0.25">
      <c r="A149" s="24" t="s">
        <v>326</v>
      </c>
      <c r="B149" s="187" t="s">
        <v>318</v>
      </c>
      <c r="C149" s="188"/>
      <c r="D149" s="188"/>
      <c r="E149" s="188"/>
      <c r="F149" s="188"/>
      <c r="G149" s="188"/>
      <c r="H149" s="188"/>
      <c r="I149" s="188"/>
      <c r="J149" s="189"/>
    </row>
    <row r="150" spans="1:10" ht="15" customHeight="1" x14ac:dyDescent="0.25">
      <c r="B150" s="32"/>
      <c r="C150" s="33"/>
      <c r="D150" s="32"/>
    </row>
    <row r="151" spans="1:10" ht="15" customHeight="1" x14ac:dyDescent="0.25">
      <c r="B151" s="25"/>
      <c r="C151" s="25" t="s">
        <v>147</v>
      </c>
      <c r="D151" s="25"/>
      <c r="E151" s="25" t="s">
        <v>161</v>
      </c>
      <c r="F151" s="25"/>
      <c r="G151" s="25" t="s">
        <v>299</v>
      </c>
    </row>
    <row r="152" spans="1:10" ht="15" customHeight="1" x14ac:dyDescent="0.25">
      <c r="B152" s="25" t="s">
        <v>209</v>
      </c>
      <c r="C152" s="25">
        <v>7.8540000000000004E-5</v>
      </c>
      <c r="D152" s="25" t="s">
        <v>210</v>
      </c>
      <c r="E152" s="25">
        <v>223.4</v>
      </c>
      <c r="F152" s="25" t="s">
        <v>210</v>
      </c>
      <c r="G152" s="25">
        <v>7850</v>
      </c>
    </row>
    <row r="153" spans="1:10" ht="15" customHeight="1" x14ac:dyDescent="0.25">
      <c r="B153" s="32"/>
      <c r="C153" s="33"/>
      <c r="D153" s="32"/>
    </row>
    <row r="154" spans="1:10" ht="15" customHeight="1" x14ac:dyDescent="0.25">
      <c r="B154" s="25" t="s">
        <v>209</v>
      </c>
      <c r="C154" s="27">
        <f>C152*E152*G152</f>
        <v>137.73481260000003</v>
      </c>
      <c r="D154" s="25" t="s">
        <v>158</v>
      </c>
    </row>
    <row r="155" spans="1:10" ht="15" customHeight="1" x14ac:dyDescent="0.25"/>
    <row r="156" spans="1:10" ht="15" customHeight="1" x14ac:dyDescent="0.25">
      <c r="A156" s="23">
        <v>5</v>
      </c>
      <c r="B156" s="190" t="s">
        <v>298</v>
      </c>
      <c r="C156" s="191"/>
      <c r="D156" s="191"/>
      <c r="E156" s="191"/>
      <c r="F156" s="191"/>
      <c r="G156" s="191"/>
      <c r="H156" s="191"/>
      <c r="I156" s="191"/>
      <c r="J156" s="192"/>
    </row>
    <row r="157" spans="1:10" ht="15" customHeight="1" x14ac:dyDescent="0.25">
      <c r="A157" s="24" t="s">
        <v>42</v>
      </c>
      <c r="B157" s="187" t="s">
        <v>43</v>
      </c>
      <c r="C157" s="188"/>
      <c r="D157" s="188"/>
      <c r="E157" s="188"/>
      <c r="F157" s="188"/>
      <c r="G157" s="188"/>
      <c r="H157" s="188"/>
      <c r="I157" s="188"/>
      <c r="J157" s="189"/>
    </row>
    <row r="158" spans="1:10" ht="15" customHeight="1" x14ac:dyDescent="0.25">
      <c r="B158" s="32"/>
      <c r="C158" s="33"/>
      <c r="D158" s="32"/>
    </row>
    <row r="159" spans="1:10" ht="15" customHeight="1" x14ac:dyDescent="0.25">
      <c r="B159" s="25"/>
      <c r="C159" s="25" t="s">
        <v>161</v>
      </c>
      <c r="D159" s="25"/>
      <c r="E159" s="25" t="s">
        <v>161</v>
      </c>
      <c r="F159" s="25"/>
      <c r="G159" s="25" t="s">
        <v>212</v>
      </c>
      <c r="H159" s="25"/>
      <c r="I159" s="25" t="s">
        <v>212</v>
      </c>
    </row>
    <row r="160" spans="1:10" ht="15" customHeight="1" x14ac:dyDescent="0.25">
      <c r="B160" s="25" t="s">
        <v>209</v>
      </c>
      <c r="C160" s="25">
        <v>0.5</v>
      </c>
      <c r="D160" s="25" t="s">
        <v>210</v>
      </c>
      <c r="E160" s="25">
        <v>4.7</v>
      </c>
      <c r="F160" s="25" t="s">
        <v>210</v>
      </c>
      <c r="G160" s="25">
        <v>2</v>
      </c>
      <c r="H160" s="25" t="s">
        <v>210</v>
      </c>
      <c r="I160" s="25">
        <v>6</v>
      </c>
    </row>
    <row r="161" spans="1:10" ht="15" customHeight="1" x14ac:dyDescent="0.25">
      <c r="B161" s="25" t="s">
        <v>209</v>
      </c>
      <c r="C161" s="25">
        <v>0.3</v>
      </c>
      <c r="D161" s="25" t="s">
        <v>210</v>
      </c>
      <c r="E161" s="25">
        <v>4.7</v>
      </c>
      <c r="F161" s="25" t="s">
        <v>210</v>
      </c>
      <c r="G161" s="25">
        <v>2</v>
      </c>
      <c r="H161" s="25" t="s">
        <v>210</v>
      </c>
      <c r="I161" s="25">
        <v>6</v>
      </c>
    </row>
    <row r="162" spans="1:10" ht="15" customHeight="1" x14ac:dyDescent="0.25">
      <c r="B162" s="25" t="s">
        <v>209</v>
      </c>
      <c r="C162" s="25">
        <v>0.2</v>
      </c>
      <c r="D162" s="25" t="s">
        <v>210</v>
      </c>
      <c r="E162" s="25">
        <v>5.8</v>
      </c>
      <c r="F162" s="25" t="s">
        <v>210</v>
      </c>
      <c r="G162" s="25">
        <v>2</v>
      </c>
      <c r="H162" s="25" t="s">
        <v>210</v>
      </c>
      <c r="I162" s="25">
        <v>11</v>
      </c>
    </row>
    <row r="163" spans="1:10" ht="15" customHeight="1" x14ac:dyDescent="0.25">
      <c r="B163" s="25" t="s">
        <v>209</v>
      </c>
      <c r="C163" s="25">
        <v>0.4</v>
      </c>
      <c r="D163" s="25" t="s">
        <v>210</v>
      </c>
      <c r="E163" s="25">
        <v>5.8</v>
      </c>
      <c r="F163" s="25" t="s">
        <v>210</v>
      </c>
      <c r="G163" s="25">
        <v>2</v>
      </c>
      <c r="H163" s="25" t="s">
        <v>210</v>
      </c>
      <c r="I163" s="25">
        <v>11</v>
      </c>
    </row>
    <row r="164" spans="1:10" ht="15" customHeight="1" x14ac:dyDescent="0.25">
      <c r="B164" s="25" t="s">
        <v>209</v>
      </c>
      <c r="C164" s="25">
        <v>0.12</v>
      </c>
      <c r="D164" s="25" t="s">
        <v>210</v>
      </c>
      <c r="E164" s="25">
        <v>3.9</v>
      </c>
      <c r="F164" s="25" t="s">
        <v>210</v>
      </c>
      <c r="G164" s="25">
        <v>2</v>
      </c>
      <c r="H164" s="25" t="s">
        <v>210</v>
      </c>
      <c r="I164" s="25">
        <v>19</v>
      </c>
    </row>
    <row r="165" spans="1:10" ht="15" customHeight="1" x14ac:dyDescent="0.25">
      <c r="B165" s="25" t="s">
        <v>209</v>
      </c>
      <c r="C165" s="25">
        <v>0.3</v>
      </c>
      <c r="D165" s="25" t="s">
        <v>210</v>
      </c>
      <c r="E165" s="25">
        <v>3.9</v>
      </c>
      <c r="F165" s="25" t="s">
        <v>210</v>
      </c>
      <c r="G165" s="25">
        <v>2</v>
      </c>
      <c r="H165" s="25" t="s">
        <v>210</v>
      </c>
      <c r="I165" s="25">
        <v>19</v>
      </c>
    </row>
    <row r="166" spans="1:10" ht="15" customHeight="1" x14ac:dyDescent="0.25">
      <c r="B166" s="32"/>
      <c r="C166" s="33"/>
      <c r="D166" s="32"/>
    </row>
    <row r="167" spans="1:10" ht="15" customHeight="1" x14ac:dyDescent="0.25">
      <c r="B167" s="25" t="s">
        <v>209</v>
      </c>
      <c r="C167" s="27">
        <f>C160*E160*G160*I160+C161*E161*G161*I161+C162*E162*G162*I162+C163*E163*G163*I163+C164*E164*G164*I164+C165*E165*G165*I165</f>
        <v>183.92399999999998</v>
      </c>
      <c r="D167" s="25" t="s">
        <v>147</v>
      </c>
    </row>
    <row r="168" spans="1:10" ht="15" customHeight="1" x14ac:dyDescent="0.25">
      <c r="B168" s="32"/>
      <c r="C168" s="33"/>
      <c r="D168" s="32"/>
    </row>
    <row r="169" spans="1:10" ht="15" customHeight="1" x14ac:dyDescent="0.25">
      <c r="A169" s="24" t="s">
        <v>230</v>
      </c>
      <c r="B169" s="187" t="s">
        <v>45</v>
      </c>
      <c r="C169" s="188"/>
      <c r="D169" s="188"/>
      <c r="E169" s="188"/>
      <c r="F169" s="188"/>
      <c r="G169" s="188"/>
      <c r="H169" s="188"/>
      <c r="I169" s="188"/>
      <c r="J169" s="189"/>
    </row>
    <row r="170" spans="1:10" ht="15" customHeight="1" x14ac:dyDescent="0.25">
      <c r="B170" s="32"/>
      <c r="C170" s="33"/>
      <c r="D170" s="32"/>
    </row>
    <row r="171" spans="1:10" ht="15" customHeight="1" x14ac:dyDescent="0.25">
      <c r="B171" s="25"/>
      <c r="C171" s="25" t="s">
        <v>161</v>
      </c>
      <c r="D171" s="25"/>
      <c r="E171" s="25" t="s">
        <v>161</v>
      </c>
      <c r="F171" s="25"/>
      <c r="G171" s="25" t="s">
        <v>212</v>
      </c>
    </row>
    <row r="172" spans="1:10" ht="15" customHeight="1" x14ac:dyDescent="0.25">
      <c r="B172" s="25" t="s">
        <v>209</v>
      </c>
      <c r="C172" s="25">
        <v>0.3</v>
      </c>
      <c r="D172" s="25" t="s">
        <v>210</v>
      </c>
      <c r="E172" s="25">
        <v>190</v>
      </c>
      <c r="F172" s="25" t="s">
        <v>210</v>
      </c>
      <c r="G172" s="25">
        <v>2</v>
      </c>
    </row>
    <row r="173" spans="1:10" ht="15" customHeight="1" x14ac:dyDescent="0.25">
      <c r="B173" s="32"/>
      <c r="C173" s="33"/>
      <c r="D173" s="32"/>
    </row>
    <row r="174" spans="1:10" ht="15" customHeight="1" x14ac:dyDescent="0.25">
      <c r="B174" s="25" t="s">
        <v>209</v>
      </c>
      <c r="C174" s="27">
        <f>C172*E172*G172</f>
        <v>114</v>
      </c>
      <c r="D174" s="25" t="s">
        <v>147</v>
      </c>
    </row>
    <row r="175" spans="1:10" ht="15" customHeight="1" x14ac:dyDescent="0.25">
      <c r="B175" s="32"/>
      <c r="C175" s="33"/>
      <c r="D175" s="32"/>
    </row>
    <row r="176" spans="1:10" ht="15" customHeight="1" x14ac:dyDescent="0.25">
      <c r="A176" s="24" t="s">
        <v>231</v>
      </c>
      <c r="B176" s="187" t="s">
        <v>322</v>
      </c>
      <c r="C176" s="188"/>
      <c r="D176" s="188"/>
      <c r="E176" s="188"/>
      <c r="F176" s="188"/>
      <c r="G176" s="188"/>
      <c r="H176" s="188"/>
      <c r="I176" s="188"/>
      <c r="J176" s="189"/>
    </row>
    <row r="177" spans="1:10" ht="15" customHeight="1" x14ac:dyDescent="0.25">
      <c r="B177" s="32"/>
      <c r="C177" s="33"/>
      <c r="D177" s="32"/>
    </row>
    <row r="178" spans="1:10" ht="15" customHeight="1" x14ac:dyDescent="0.25">
      <c r="B178" s="25"/>
      <c r="C178" s="25" t="s">
        <v>161</v>
      </c>
      <c r="D178" s="25"/>
      <c r="E178" s="25" t="s">
        <v>161</v>
      </c>
      <c r="F178" s="25"/>
      <c r="G178" s="25" t="s">
        <v>212</v>
      </c>
    </row>
    <row r="179" spans="1:10" ht="15" customHeight="1" x14ac:dyDescent="0.25">
      <c r="B179" s="25" t="s">
        <v>209</v>
      </c>
      <c r="C179" s="25">
        <v>0.7</v>
      </c>
      <c r="D179" s="25" t="s">
        <v>210</v>
      </c>
      <c r="E179" s="25">
        <v>28</v>
      </c>
      <c r="F179" s="25" t="s">
        <v>210</v>
      </c>
      <c r="G179" s="25">
        <v>1</v>
      </c>
    </row>
    <row r="180" spans="1:10" ht="15" customHeight="1" x14ac:dyDescent="0.25">
      <c r="B180" s="25" t="s">
        <v>209</v>
      </c>
      <c r="C180" s="25">
        <v>0.3</v>
      </c>
      <c r="D180" s="25" t="s">
        <v>210</v>
      </c>
      <c r="E180" s="25">
        <v>28</v>
      </c>
      <c r="F180" s="25" t="s">
        <v>210</v>
      </c>
      <c r="G180" s="25">
        <v>2</v>
      </c>
    </row>
    <row r="181" spans="1:10" ht="15" customHeight="1" x14ac:dyDescent="0.25">
      <c r="B181" s="25" t="s">
        <v>209</v>
      </c>
      <c r="C181" s="25">
        <v>0.23</v>
      </c>
      <c r="D181" s="25" t="s">
        <v>210</v>
      </c>
      <c r="E181" s="25">
        <v>28</v>
      </c>
      <c r="F181" s="25" t="s">
        <v>210</v>
      </c>
      <c r="G181" s="25">
        <v>2</v>
      </c>
    </row>
    <row r="182" spans="1:10" ht="15" customHeight="1" x14ac:dyDescent="0.25">
      <c r="B182" s="32"/>
      <c r="C182" s="33"/>
      <c r="D182" s="32"/>
    </row>
    <row r="183" spans="1:10" ht="15" customHeight="1" x14ac:dyDescent="0.25">
      <c r="B183" s="25" t="s">
        <v>209</v>
      </c>
      <c r="C183" s="27">
        <f>C179*E179*G179+C180*E180*G180+C181*E181*G181</f>
        <v>49.28</v>
      </c>
      <c r="D183" s="25" t="s">
        <v>147</v>
      </c>
    </row>
    <row r="184" spans="1:10" ht="15" customHeight="1" x14ac:dyDescent="0.25">
      <c r="B184" s="32"/>
      <c r="C184" s="33"/>
      <c r="D184" s="32"/>
    </row>
    <row r="185" spans="1:10" ht="15" customHeight="1" x14ac:dyDescent="0.25">
      <c r="A185" s="24" t="s">
        <v>232</v>
      </c>
      <c r="B185" s="187" t="s">
        <v>319</v>
      </c>
      <c r="C185" s="188"/>
      <c r="D185" s="188"/>
      <c r="E185" s="188"/>
      <c r="F185" s="188"/>
      <c r="G185" s="188"/>
      <c r="H185" s="188"/>
      <c r="I185" s="188"/>
      <c r="J185" s="189"/>
    </row>
    <row r="186" spans="1:10" ht="15" customHeight="1" x14ac:dyDescent="0.25">
      <c r="B186" s="32"/>
      <c r="C186" s="33"/>
      <c r="D186" s="32"/>
    </row>
    <row r="187" spans="1:10" ht="15" customHeight="1" x14ac:dyDescent="0.25">
      <c r="B187" s="25"/>
      <c r="C187" s="25" t="s">
        <v>161</v>
      </c>
      <c r="D187" s="25"/>
      <c r="E187" s="25" t="s">
        <v>212</v>
      </c>
    </row>
    <row r="188" spans="1:10" ht="15" customHeight="1" x14ac:dyDescent="0.25">
      <c r="B188" s="25" t="s">
        <v>209</v>
      </c>
      <c r="C188" s="25">
        <v>5</v>
      </c>
      <c r="D188" s="25" t="s">
        <v>210</v>
      </c>
      <c r="E188" s="25">
        <v>6</v>
      </c>
    </row>
    <row r="189" spans="1:10" ht="15" customHeight="1" x14ac:dyDescent="0.25">
      <c r="B189" s="32"/>
      <c r="C189" s="33"/>
      <c r="D189" s="32"/>
    </row>
    <row r="190" spans="1:10" ht="15" customHeight="1" x14ac:dyDescent="0.25">
      <c r="B190" s="25" t="s">
        <v>209</v>
      </c>
      <c r="C190" s="27">
        <f>C188*E188</f>
        <v>30</v>
      </c>
      <c r="D190" s="25" t="s">
        <v>161</v>
      </c>
    </row>
    <row r="191" spans="1:10" ht="15" customHeight="1" x14ac:dyDescent="0.25">
      <c r="B191" s="32"/>
      <c r="C191" s="33"/>
      <c r="D191" s="32"/>
    </row>
    <row r="192" spans="1:10" ht="15" customHeight="1" x14ac:dyDescent="0.25">
      <c r="A192" s="24" t="s">
        <v>233</v>
      </c>
      <c r="B192" s="187" t="s">
        <v>46</v>
      </c>
      <c r="C192" s="188"/>
      <c r="D192" s="188"/>
      <c r="E192" s="188"/>
      <c r="F192" s="188"/>
      <c r="G192" s="188"/>
      <c r="H192" s="188"/>
      <c r="I192" s="188"/>
      <c r="J192" s="189"/>
    </row>
    <row r="193" spans="1:10" ht="15" customHeight="1" x14ac:dyDescent="0.25">
      <c r="B193" s="32"/>
      <c r="C193" s="33"/>
      <c r="D193" s="32"/>
    </row>
    <row r="194" spans="1:10" ht="15" customHeight="1" x14ac:dyDescent="0.25">
      <c r="B194" s="25"/>
      <c r="C194" s="25" t="s">
        <v>161</v>
      </c>
      <c r="D194" s="25"/>
      <c r="E194" s="25" t="s">
        <v>161</v>
      </c>
      <c r="F194" s="25"/>
      <c r="G194" s="25" t="s">
        <v>161</v>
      </c>
      <c r="H194" s="25"/>
      <c r="I194" s="25" t="s">
        <v>212</v>
      </c>
    </row>
    <row r="195" spans="1:10" ht="15" customHeight="1" x14ac:dyDescent="0.25">
      <c r="B195" s="25" t="s">
        <v>209</v>
      </c>
      <c r="C195" s="25">
        <v>0.3</v>
      </c>
      <c r="D195" s="25" t="s">
        <v>210</v>
      </c>
      <c r="E195" s="25">
        <v>0.5</v>
      </c>
      <c r="F195" s="25" t="s">
        <v>210</v>
      </c>
      <c r="G195" s="25">
        <v>4.7</v>
      </c>
      <c r="H195" s="25" t="s">
        <v>210</v>
      </c>
      <c r="I195" s="25">
        <v>6</v>
      </c>
    </row>
    <row r="196" spans="1:10" ht="15" customHeight="1" x14ac:dyDescent="0.25">
      <c r="B196" s="25" t="s">
        <v>209</v>
      </c>
      <c r="C196" s="25">
        <v>0.2</v>
      </c>
      <c r="D196" s="25" t="s">
        <v>210</v>
      </c>
      <c r="E196" s="25">
        <v>0.4</v>
      </c>
      <c r="F196" s="25" t="s">
        <v>210</v>
      </c>
      <c r="G196" s="25">
        <v>5.8</v>
      </c>
      <c r="H196" s="25" t="s">
        <v>210</v>
      </c>
      <c r="I196" s="25">
        <v>11</v>
      </c>
    </row>
    <row r="197" spans="1:10" ht="15" customHeight="1" x14ac:dyDescent="0.25">
      <c r="B197" s="25" t="s">
        <v>209</v>
      </c>
      <c r="C197" s="25">
        <v>0.12</v>
      </c>
      <c r="D197" s="25" t="s">
        <v>210</v>
      </c>
      <c r="E197" s="25">
        <v>0.3</v>
      </c>
      <c r="F197" s="25" t="s">
        <v>210</v>
      </c>
      <c r="G197" s="25">
        <v>4.7</v>
      </c>
      <c r="H197" s="25" t="s">
        <v>210</v>
      </c>
      <c r="I197" s="25">
        <v>19</v>
      </c>
    </row>
    <row r="198" spans="1:10" ht="15" customHeight="1" x14ac:dyDescent="0.25">
      <c r="B198" s="25"/>
      <c r="C198" s="25" t="s">
        <v>147</v>
      </c>
      <c r="D198" s="25"/>
      <c r="E198" s="25" t="s">
        <v>161</v>
      </c>
      <c r="F198" s="25"/>
      <c r="G198" s="25" t="s">
        <v>212</v>
      </c>
    </row>
    <row r="199" spans="1:10" ht="15" customHeight="1" x14ac:dyDescent="0.25">
      <c r="B199" s="25" t="s">
        <v>209</v>
      </c>
      <c r="C199" s="25">
        <v>7.0690000000000003E-2</v>
      </c>
      <c r="D199" s="25" t="s">
        <v>210</v>
      </c>
      <c r="E199" s="25">
        <v>4.7</v>
      </c>
      <c r="F199" s="25" t="s">
        <v>210</v>
      </c>
      <c r="G199" s="25">
        <v>5</v>
      </c>
    </row>
    <row r="200" spans="1:10" ht="15" customHeight="1" x14ac:dyDescent="0.25">
      <c r="B200" s="32"/>
    </row>
    <row r="201" spans="1:10" x14ac:dyDescent="0.25">
      <c r="B201" s="25" t="s">
        <v>209</v>
      </c>
      <c r="C201" s="27">
        <f>C195*E195*G195*I195+C196*E196*G196*I196+C197*E197*G197*I197+C199*E199*G199</f>
        <v>14.210015</v>
      </c>
      <c r="D201" s="25" t="s">
        <v>158</v>
      </c>
    </row>
    <row r="202" spans="1:10" x14ac:dyDescent="0.25">
      <c r="B202" s="32"/>
      <c r="C202" s="33"/>
      <c r="D202" s="32"/>
    </row>
    <row r="203" spans="1:10" x14ac:dyDescent="0.25">
      <c r="A203" s="24" t="s">
        <v>234</v>
      </c>
      <c r="B203" s="187" t="s">
        <v>47</v>
      </c>
      <c r="C203" s="188"/>
      <c r="D203" s="188"/>
      <c r="E203" s="188"/>
      <c r="F203" s="188"/>
      <c r="G203" s="188"/>
      <c r="H203" s="188"/>
      <c r="I203" s="188"/>
      <c r="J203" s="189"/>
    </row>
    <row r="204" spans="1:10" x14ac:dyDescent="0.25">
      <c r="B204" s="32"/>
      <c r="C204" s="33"/>
      <c r="D204" s="32"/>
    </row>
    <row r="205" spans="1:10" x14ac:dyDescent="0.25">
      <c r="B205" s="25"/>
      <c r="C205" s="25" t="s">
        <v>161</v>
      </c>
      <c r="D205" s="25"/>
      <c r="E205" s="25" t="s">
        <v>161</v>
      </c>
      <c r="F205" s="25"/>
      <c r="G205" s="25" t="s">
        <v>161</v>
      </c>
    </row>
    <row r="206" spans="1:10" x14ac:dyDescent="0.25">
      <c r="B206" s="25" t="s">
        <v>209</v>
      </c>
      <c r="C206" s="25">
        <v>0.3</v>
      </c>
      <c r="D206" s="25" t="s">
        <v>210</v>
      </c>
      <c r="E206" s="25">
        <v>0.12</v>
      </c>
      <c r="F206" s="25" t="s">
        <v>210</v>
      </c>
      <c r="G206" s="25">
        <v>180</v>
      </c>
    </row>
    <row r="207" spans="1:10" x14ac:dyDescent="0.25">
      <c r="B207" s="25" t="s">
        <v>209</v>
      </c>
      <c r="C207" s="25">
        <v>1.1000000000000001</v>
      </c>
      <c r="D207" s="25" t="s">
        <v>210</v>
      </c>
      <c r="E207" s="25">
        <v>0.1</v>
      </c>
      <c r="F207" s="25" t="s">
        <v>210</v>
      </c>
      <c r="G207" s="25">
        <v>28</v>
      </c>
    </row>
    <row r="208" spans="1:10" x14ac:dyDescent="0.25">
      <c r="B208" s="32"/>
      <c r="C208" s="33"/>
      <c r="D208" s="32"/>
    </row>
    <row r="209" spans="1:10" x14ac:dyDescent="0.25">
      <c r="B209" s="25" t="s">
        <v>209</v>
      </c>
      <c r="C209" s="27">
        <f>C206*E206*G206+C207*E207*G207</f>
        <v>9.56</v>
      </c>
      <c r="D209" s="25" t="s">
        <v>158</v>
      </c>
    </row>
    <row r="210" spans="1:10" x14ac:dyDescent="0.25">
      <c r="B210" s="32"/>
      <c r="C210" s="33"/>
      <c r="D210" s="32"/>
    </row>
    <row r="211" spans="1:10" x14ac:dyDescent="0.25">
      <c r="A211" s="24" t="s">
        <v>320</v>
      </c>
      <c r="B211" s="187" t="s">
        <v>48</v>
      </c>
      <c r="C211" s="188"/>
      <c r="D211" s="188"/>
      <c r="E211" s="188"/>
      <c r="F211" s="188"/>
      <c r="G211" s="188"/>
      <c r="H211" s="188"/>
      <c r="I211" s="188"/>
      <c r="J211" s="189"/>
    </row>
    <row r="212" spans="1:10" x14ac:dyDescent="0.25">
      <c r="B212" s="32"/>
      <c r="C212" s="33"/>
      <c r="D212" s="32"/>
    </row>
    <row r="213" spans="1:10" x14ac:dyDescent="0.25">
      <c r="A213" s="25"/>
      <c r="B213" s="25" t="s">
        <v>161</v>
      </c>
      <c r="C213" s="25"/>
      <c r="D213" s="25" t="s">
        <v>147</v>
      </c>
      <c r="E213" s="25"/>
      <c r="F213" s="25" t="s">
        <v>299</v>
      </c>
      <c r="G213" s="25"/>
      <c r="H213" s="25" t="s">
        <v>212</v>
      </c>
      <c r="I213" s="25"/>
      <c r="J213" s="25" t="s">
        <v>212</v>
      </c>
    </row>
    <row r="214" spans="1:10" x14ac:dyDescent="0.25">
      <c r="A214" s="25" t="s">
        <v>209</v>
      </c>
      <c r="B214" s="25">
        <v>5</v>
      </c>
      <c r="C214" s="25" t="s">
        <v>210</v>
      </c>
      <c r="D214" s="25">
        <v>7.8540000000000004E-5</v>
      </c>
      <c r="E214" s="25" t="s">
        <v>210</v>
      </c>
      <c r="F214" s="25">
        <v>7850</v>
      </c>
      <c r="G214" s="25" t="s">
        <v>210</v>
      </c>
      <c r="H214" s="25">
        <v>14</v>
      </c>
      <c r="I214" s="25" t="s">
        <v>210</v>
      </c>
      <c r="J214" s="25">
        <v>6</v>
      </c>
    </row>
    <row r="215" spans="1:10" x14ac:dyDescent="0.25">
      <c r="A215" s="25" t="s">
        <v>209</v>
      </c>
      <c r="B215" s="25">
        <v>6.5</v>
      </c>
      <c r="C215" s="25" t="s">
        <v>210</v>
      </c>
      <c r="D215" s="25">
        <v>7.8540000000000004E-5</v>
      </c>
      <c r="E215" s="25" t="s">
        <v>210</v>
      </c>
      <c r="F215" s="25">
        <v>7850</v>
      </c>
      <c r="G215" s="25" t="s">
        <v>210</v>
      </c>
      <c r="H215" s="25">
        <v>12</v>
      </c>
      <c r="I215" s="25" t="s">
        <v>210</v>
      </c>
      <c r="J215" s="25">
        <v>11</v>
      </c>
    </row>
    <row r="216" spans="1:10" x14ac:dyDescent="0.25">
      <c r="A216" s="25" t="s">
        <v>209</v>
      </c>
      <c r="B216" s="25">
        <v>5</v>
      </c>
      <c r="C216" s="25" t="s">
        <v>210</v>
      </c>
      <c r="D216" s="25">
        <v>7.8540000000000004E-5</v>
      </c>
      <c r="E216" s="25" t="s">
        <v>210</v>
      </c>
      <c r="F216" s="25">
        <v>7850</v>
      </c>
      <c r="G216" s="25" t="s">
        <v>210</v>
      </c>
      <c r="H216" s="25">
        <v>8</v>
      </c>
      <c r="I216" s="25" t="s">
        <v>210</v>
      </c>
      <c r="J216" s="25">
        <v>19</v>
      </c>
    </row>
    <row r="217" spans="1:10" x14ac:dyDescent="0.25">
      <c r="A217" s="25" t="s">
        <v>209</v>
      </c>
      <c r="B217" s="25">
        <v>5</v>
      </c>
      <c r="C217" s="25" t="s">
        <v>210</v>
      </c>
      <c r="D217" s="25">
        <v>7.8540000000000004E-5</v>
      </c>
      <c r="E217" s="25" t="s">
        <v>210</v>
      </c>
      <c r="F217" s="25">
        <v>7850</v>
      </c>
      <c r="G217" s="25" t="s">
        <v>210</v>
      </c>
      <c r="H217" s="25">
        <v>8</v>
      </c>
      <c r="I217" s="25" t="s">
        <v>210</v>
      </c>
      <c r="J217" s="25">
        <v>5</v>
      </c>
    </row>
    <row r="218" spans="1:10" x14ac:dyDescent="0.25">
      <c r="A218" s="25" t="s">
        <v>209</v>
      </c>
      <c r="B218" s="25">
        <v>28</v>
      </c>
      <c r="C218" s="25" t="s">
        <v>210</v>
      </c>
      <c r="D218" s="25">
        <v>7.8540000000000004E-5</v>
      </c>
      <c r="E218" s="25" t="s">
        <v>210</v>
      </c>
      <c r="F218" s="25">
        <v>7850</v>
      </c>
      <c r="G218" s="25" t="s">
        <v>210</v>
      </c>
      <c r="H218" s="25">
        <v>11</v>
      </c>
      <c r="I218" s="25" t="s">
        <v>210</v>
      </c>
      <c r="J218" s="25">
        <v>1</v>
      </c>
    </row>
    <row r="219" spans="1:10" x14ac:dyDescent="0.25">
      <c r="A219" s="32"/>
      <c r="B219" s="33"/>
      <c r="C219" s="32"/>
    </row>
    <row r="220" spans="1:10" x14ac:dyDescent="0.25">
      <c r="A220" s="25" t="s">
        <v>209</v>
      </c>
      <c r="B220" s="27">
        <f>B214*D214*F214*H214*J214+B215*D215*F215*H215*J215+B216*D216*F216*H216*J216+B217*D217*F217*H217*J217+B218*D218*F218*H218*J218</f>
        <v>1569.7082940000003</v>
      </c>
      <c r="C220" s="25" t="s">
        <v>300</v>
      </c>
    </row>
    <row r="221" spans="1:10" x14ac:dyDescent="0.25">
      <c r="B221" s="32"/>
      <c r="C221" s="33"/>
      <c r="D221" s="32"/>
    </row>
    <row r="222" spans="1:10" x14ac:dyDescent="0.25">
      <c r="A222" s="24" t="s">
        <v>321</v>
      </c>
      <c r="B222" s="187" t="s">
        <v>49</v>
      </c>
      <c r="C222" s="188"/>
      <c r="D222" s="188"/>
      <c r="E222" s="188"/>
      <c r="F222" s="188"/>
      <c r="G222" s="188"/>
      <c r="H222" s="188"/>
      <c r="I222" s="188"/>
      <c r="J222" s="189"/>
    </row>
    <row r="223" spans="1:10" x14ac:dyDescent="0.25">
      <c r="B223" s="32"/>
      <c r="C223" s="33"/>
      <c r="D223" s="32"/>
    </row>
    <row r="224" spans="1:10" x14ac:dyDescent="0.25">
      <c r="B224" s="25"/>
      <c r="C224" s="25" t="s">
        <v>161</v>
      </c>
      <c r="D224" s="25"/>
      <c r="E224" s="25" t="s">
        <v>147</v>
      </c>
      <c r="F224" s="25"/>
      <c r="G224" s="25" t="s">
        <v>299</v>
      </c>
    </row>
    <row r="225" spans="1:10" x14ac:dyDescent="0.25">
      <c r="B225" s="25" t="s">
        <v>209</v>
      </c>
      <c r="C225" s="25">
        <v>3253</v>
      </c>
      <c r="D225" s="25" t="s">
        <v>210</v>
      </c>
      <c r="E225" s="25">
        <v>1.9635000000000001E-5</v>
      </c>
      <c r="F225" s="25" t="s">
        <v>210</v>
      </c>
      <c r="G225" s="25">
        <v>7850</v>
      </c>
    </row>
    <row r="226" spans="1:10" x14ac:dyDescent="0.25">
      <c r="B226" s="32"/>
      <c r="C226" s="33"/>
      <c r="D226" s="32"/>
    </row>
    <row r="227" spans="1:10" x14ac:dyDescent="0.25">
      <c r="B227" s="25" t="s">
        <v>209</v>
      </c>
      <c r="C227" s="27">
        <f>C225*E225*G225</f>
        <v>501.40034175</v>
      </c>
      <c r="D227" s="25" t="s">
        <v>300</v>
      </c>
    </row>
    <row r="228" spans="1:10" x14ac:dyDescent="0.25">
      <c r="B228" s="32"/>
      <c r="C228" s="33"/>
      <c r="D228" s="32"/>
    </row>
    <row r="229" spans="1:10" x14ac:dyDescent="0.25">
      <c r="A229" s="19">
        <v>6</v>
      </c>
      <c r="B229" s="190" t="s">
        <v>25</v>
      </c>
      <c r="C229" s="191"/>
      <c r="D229" s="191"/>
      <c r="E229" s="191"/>
      <c r="F229" s="191"/>
      <c r="G229" s="191"/>
      <c r="H229" s="191"/>
      <c r="I229" s="191"/>
      <c r="J229" s="192"/>
    </row>
    <row r="230" spans="1:10" x14ac:dyDescent="0.25">
      <c r="A230" s="20" t="s">
        <v>100</v>
      </c>
      <c r="B230" s="187" t="s">
        <v>50</v>
      </c>
      <c r="C230" s="188"/>
      <c r="D230" s="188"/>
      <c r="E230" s="188"/>
      <c r="F230" s="188"/>
      <c r="G230" s="188"/>
      <c r="H230" s="188"/>
      <c r="I230" s="188"/>
      <c r="J230" s="189"/>
    </row>
    <row r="231" spans="1:10" ht="15" customHeight="1" x14ac:dyDescent="0.25">
      <c r="A231" s="21"/>
      <c r="B231" s="188" t="s">
        <v>213</v>
      </c>
      <c r="C231" s="188"/>
      <c r="D231" s="21"/>
      <c r="E231" s="21"/>
      <c r="F231" s="21"/>
      <c r="G231" s="21"/>
      <c r="H231" s="21"/>
      <c r="I231" s="21"/>
      <c r="J231" s="21"/>
    </row>
    <row r="232" spans="1:10" ht="15" customHeight="1" x14ac:dyDescent="0.25">
      <c r="A232" s="26"/>
      <c r="B232" s="28" t="s">
        <v>215</v>
      </c>
      <c r="C232" s="25" t="s">
        <v>147</v>
      </c>
      <c r="D232" s="25"/>
      <c r="E232" s="25" t="s">
        <v>212</v>
      </c>
      <c r="F232" s="26"/>
      <c r="G232" s="26"/>
      <c r="H232" s="26"/>
      <c r="I232" s="26"/>
      <c r="J232" s="26"/>
    </row>
    <row r="233" spans="1:10" ht="15" customHeight="1" x14ac:dyDescent="0.25">
      <c r="A233" s="26"/>
      <c r="B233" s="25" t="s">
        <v>209</v>
      </c>
      <c r="C233" s="29">
        <v>19.84</v>
      </c>
      <c r="D233" s="25" t="s">
        <v>210</v>
      </c>
      <c r="E233" s="25">
        <v>3</v>
      </c>
      <c r="F233" s="26"/>
      <c r="G233" s="26"/>
      <c r="H233" s="26"/>
      <c r="I233" s="26"/>
      <c r="J233" s="26"/>
    </row>
    <row r="234" spans="1:10" ht="15" customHeight="1" x14ac:dyDescent="0.25">
      <c r="A234" s="26"/>
      <c r="B234" s="25" t="s">
        <v>209</v>
      </c>
      <c r="C234" s="29">
        <v>10.24</v>
      </c>
      <c r="D234" s="25" t="s">
        <v>210</v>
      </c>
      <c r="E234" s="25">
        <v>6</v>
      </c>
      <c r="F234" s="26"/>
      <c r="G234" s="26"/>
      <c r="H234" s="26"/>
      <c r="I234" s="26"/>
      <c r="J234" s="26"/>
    </row>
    <row r="235" spans="1:10" ht="15" customHeight="1" x14ac:dyDescent="0.25">
      <c r="A235" s="26"/>
      <c r="B235" s="25" t="s">
        <v>209</v>
      </c>
      <c r="C235" s="29">
        <v>25.96</v>
      </c>
      <c r="D235" s="25" t="s">
        <v>210</v>
      </c>
      <c r="E235" s="25">
        <v>3</v>
      </c>
      <c r="F235" s="26"/>
      <c r="G235" s="26"/>
      <c r="H235" s="26"/>
      <c r="I235" s="26"/>
      <c r="J235" s="26"/>
    </row>
    <row r="236" spans="1:10" ht="15" customHeight="1" x14ac:dyDescent="0.25">
      <c r="A236" s="26"/>
      <c r="B236" s="25" t="s">
        <v>209</v>
      </c>
      <c r="C236" s="29">
        <v>18.5</v>
      </c>
      <c r="D236" s="25" t="s">
        <v>210</v>
      </c>
      <c r="E236" s="25">
        <v>2</v>
      </c>
      <c r="F236" s="26"/>
      <c r="G236" s="26"/>
      <c r="H236" s="26"/>
      <c r="I236" s="26"/>
      <c r="J236" s="26"/>
    </row>
    <row r="237" spans="1:10" ht="15" customHeight="1" x14ac:dyDescent="0.25">
      <c r="A237" s="26"/>
      <c r="B237" s="25" t="s">
        <v>209</v>
      </c>
      <c r="C237" s="29">
        <v>49.192</v>
      </c>
      <c r="D237" s="25" t="s">
        <v>210</v>
      </c>
      <c r="E237" s="25">
        <v>1</v>
      </c>
      <c r="F237" s="26"/>
      <c r="G237" s="26"/>
      <c r="H237" s="26"/>
      <c r="I237" s="26"/>
      <c r="J237" s="26"/>
    </row>
    <row r="238" spans="1:10" ht="15" customHeight="1" x14ac:dyDescent="0.25">
      <c r="A238" s="26"/>
      <c r="B238" s="25" t="s">
        <v>209</v>
      </c>
      <c r="C238" s="29">
        <v>14.6</v>
      </c>
      <c r="D238" s="25" t="s">
        <v>210</v>
      </c>
      <c r="E238" s="25">
        <v>4</v>
      </c>
      <c r="F238" s="26"/>
      <c r="G238" s="26"/>
      <c r="H238" s="26"/>
      <c r="I238" s="26"/>
      <c r="J238" s="26"/>
    </row>
    <row r="239" spans="1:10" ht="15" customHeight="1" x14ac:dyDescent="0.25">
      <c r="A239" s="26"/>
      <c r="B239" s="25" t="s">
        <v>209</v>
      </c>
      <c r="C239" s="29">
        <v>9.9</v>
      </c>
      <c r="D239" s="25" t="s">
        <v>210</v>
      </c>
      <c r="E239" s="25">
        <v>6</v>
      </c>
      <c r="F239" s="26"/>
      <c r="G239" s="26"/>
      <c r="H239" s="26"/>
      <c r="I239" s="26"/>
      <c r="J239" s="26"/>
    </row>
    <row r="240" spans="1:10" ht="15" customHeight="1" x14ac:dyDescent="0.25">
      <c r="B240" s="25" t="s">
        <v>209</v>
      </c>
      <c r="C240" s="29">
        <v>36.25</v>
      </c>
      <c r="D240" s="25" t="s">
        <v>210</v>
      </c>
      <c r="E240" s="25">
        <v>1</v>
      </c>
    </row>
    <row r="241" spans="1:10" ht="15" customHeight="1" x14ac:dyDescent="0.25">
      <c r="B241" s="25" t="s">
        <v>209</v>
      </c>
      <c r="C241" s="29">
        <v>150</v>
      </c>
      <c r="D241" s="25" t="s">
        <v>210</v>
      </c>
      <c r="E241" s="25">
        <v>1</v>
      </c>
    </row>
    <row r="243" spans="1:10" x14ac:dyDescent="0.25">
      <c r="A243" s="26"/>
      <c r="B243" s="25" t="s">
        <v>209</v>
      </c>
      <c r="C243" s="27">
        <f>C233*E233+C234*E234+C235*E235+C236*E236+C237*E237+C238*E238+C239*E239+C240*E240+C241*E241</f>
        <v>589.08199999999999</v>
      </c>
      <c r="D243" s="25" t="s">
        <v>147</v>
      </c>
      <c r="E243" s="26"/>
      <c r="F243" s="26"/>
      <c r="G243" s="26"/>
      <c r="H243" s="26"/>
      <c r="I243" s="26"/>
      <c r="J243" s="26"/>
    </row>
    <row r="244" spans="1:10" ht="15" customHeight="1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</row>
    <row r="245" spans="1:10" ht="16.5" customHeight="1" x14ac:dyDescent="0.25">
      <c r="A245" s="23">
        <v>7</v>
      </c>
      <c r="B245" s="190" t="s">
        <v>26</v>
      </c>
      <c r="C245" s="191"/>
      <c r="D245" s="191"/>
      <c r="E245" s="191"/>
      <c r="F245" s="191"/>
      <c r="G245" s="191"/>
      <c r="H245" s="191"/>
      <c r="I245" s="191"/>
      <c r="J245" s="192"/>
    </row>
    <row r="246" spans="1:10" ht="24" customHeight="1" x14ac:dyDescent="0.25">
      <c r="A246" s="24" t="s">
        <v>101</v>
      </c>
      <c r="B246" s="187" t="s">
        <v>51</v>
      </c>
      <c r="C246" s="188"/>
      <c r="D246" s="188"/>
      <c r="E246" s="188"/>
      <c r="F246" s="188"/>
      <c r="G246" s="188"/>
      <c r="H246" s="188"/>
      <c r="I246" s="188"/>
      <c r="J246" s="189"/>
    </row>
    <row r="247" spans="1:10" x14ac:dyDescent="0.25">
      <c r="A247" s="26"/>
      <c r="B247" s="30"/>
      <c r="C247" s="30"/>
      <c r="D247" s="26"/>
      <c r="E247" s="26"/>
      <c r="F247" s="26"/>
      <c r="G247" s="26"/>
      <c r="H247" s="26"/>
      <c r="I247" s="26"/>
      <c r="J247" s="26"/>
    </row>
    <row r="248" spans="1:10" ht="15" customHeight="1" x14ac:dyDescent="0.25">
      <c r="A248" s="26"/>
      <c r="B248" s="25" t="s">
        <v>209</v>
      </c>
      <c r="C248" s="27">
        <v>13</v>
      </c>
      <c r="D248" s="25" t="s">
        <v>214</v>
      </c>
      <c r="E248" s="26"/>
      <c r="F248" s="26"/>
      <c r="G248" s="26"/>
      <c r="H248" s="26"/>
      <c r="I248" s="26"/>
      <c r="J248" s="26"/>
    </row>
    <row r="250" spans="1:10" ht="15" customHeight="1" x14ac:dyDescent="0.25">
      <c r="A250" s="24" t="s">
        <v>102</v>
      </c>
      <c r="B250" s="187" t="s">
        <v>52</v>
      </c>
      <c r="C250" s="188"/>
      <c r="D250" s="188"/>
      <c r="E250" s="188"/>
      <c r="F250" s="188"/>
      <c r="G250" s="188"/>
      <c r="H250" s="188"/>
      <c r="I250" s="188"/>
      <c r="J250" s="189"/>
    </row>
    <row r="251" spans="1:10" ht="15" customHeight="1" x14ac:dyDescent="0.25">
      <c r="A251" s="26"/>
      <c r="B251" s="22"/>
      <c r="C251" s="22"/>
      <c r="D251" s="26"/>
      <c r="E251" s="26"/>
      <c r="F251" s="26"/>
      <c r="G251" s="26"/>
      <c r="H251" s="26"/>
      <c r="I251" s="26"/>
      <c r="J251" s="26"/>
    </row>
    <row r="252" spans="1:10" ht="15" customHeight="1" x14ac:dyDescent="0.25">
      <c r="A252" s="26"/>
      <c r="B252" s="25" t="s">
        <v>209</v>
      </c>
      <c r="C252" s="27">
        <v>6</v>
      </c>
      <c r="D252" s="25" t="s">
        <v>214</v>
      </c>
      <c r="E252" s="26"/>
      <c r="F252" s="26"/>
      <c r="G252" s="26"/>
      <c r="H252" s="26"/>
      <c r="I252" s="26"/>
      <c r="J252" s="26"/>
    </row>
    <row r="254" spans="1:10" ht="17.25" customHeight="1" x14ac:dyDescent="0.25">
      <c r="A254" s="24" t="s">
        <v>235</v>
      </c>
      <c r="B254" s="187" t="s">
        <v>54</v>
      </c>
      <c r="C254" s="188"/>
      <c r="D254" s="188"/>
      <c r="E254" s="188"/>
      <c r="F254" s="188"/>
      <c r="G254" s="188"/>
      <c r="H254" s="188"/>
      <c r="I254" s="188"/>
      <c r="J254" s="189"/>
    </row>
    <row r="255" spans="1:10" ht="15" customHeight="1" x14ac:dyDescent="0.25">
      <c r="A255" s="26"/>
      <c r="B255" s="22"/>
      <c r="C255" s="22"/>
      <c r="D255" s="26"/>
      <c r="E255" s="26"/>
      <c r="F255" s="26"/>
      <c r="G255" s="26"/>
      <c r="H255" s="26"/>
      <c r="I255" s="26"/>
      <c r="J255" s="26"/>
    </row>
    <row r="256" spans="1:10" ht="15" customHeight="1" x14ac:dyDescent="0.25">
      <c r="A256" s="26"/>
      <c r="B256" s="25" t="s">
        <v>209</v>
      </c>
      <c r="C256" s="27">
        <v>6</v>
      </c>
      <c r="D256" s="25" t="s">
        <v>214</v>
      </c>
      <c r="E256" s="26"/>
      <c r="F256" s="26"/>
      <c r="G256" s="26"/>
      <c r="H256" s="26"/>
      <c r="I256" s="26"/>
      <c r="J256" s="26"/>
    </row>
    <row r="257" spans="1:10" ht="15" customHeight="1" x14ac:dyDescent="0.25"/>
    <row r="258" spans="1:10" ht="15" customHeight="1" x14ac:dyDescent="0.25">
      <c r="A258" s="24" t="s">
        <v>236</v>
      </c>
      <c r="B258" s="187" t="s">
        <v>53</v>
      </c>
      <c r="C258" s="188"/>
      <c r="D258" s="188"/>
      <c r="E258" s="188"/>
      <c r="F258" s="188"/>
      <c r="G258" s="188"/>
      <c r="H258" s="188"/>
      <c r="I258" s="188"/>
      <c r="J258" s="189"/>
    </row>
    <row r="259" spans="1:10" x14ac:dyDescent="0.25">
      <c r="A259" s="26"/>
      <c r="B259" s="22"/>
      <c r="C259" s="22"/>
      <c r="D259" s="26"/>
      <c r="E259" s="26"/>
      <c r="F259" s="26"/>
      <c r="G259" s="26"/>
      <c r="H259" s="26"/>
      <c r="I259" s="26"/>
      <c r="J259" s="26"/>
    </row>
    <row r="260" spans="1:10" x14ac:dyDescent="0.25">
      <c r="A260" s="26"/>
      <c r="B260" s="25" t="s">
        <v>209</v>
      </c>
      <c r="C260" s="27">
        <v>7</v>
      </c>
      <c r="D260" s="25" t="s">
        <v>214</v>
      </c>
      <c r="E260" s="26"/>
      <c r="F260" s="26"/>
      <c r="G260" s="26"/>
      <c r="H260" s="26"/>
      <c r="I260" s="26"/>
      <c r="J260" s="26"/>
    </row>
    <row r="261" spans="1:10" ht="15" customHeight="1" x14ac:dyDescent="0.25"/>
    <row r="262" spans="1:10" ht="15" customHeight="1" x14ac:dyDescent="0.25">
      <c r="A262" s="24" t="s">
        <v>237</v>
      </c>
      <c r="B262" s="187" t="s">
        <v>55</v>
      </c>
      <c r="C262" s="188"/>
      <c r="D262" s="188"/>
      <c r="E262" s="188"/>
      <c r="F262" s="188"/>
      <c r="G262" s="188"/>
      <c r="H262" s="188"/>
      <c r="I262" s="188"/>
      <c r="J262" s="189"/>
    </row>
    <row r="263" spans="1:10" x14ac:dyDescent="0.25">
      <c r="A263" s="26"/>
      <c r="B263" s="22"/>
      <c r="C263" s="22"/>
      <c r="D263" s="26"/>
      <c r="E263" s="26"/>
      <c r="F263" s="26"/>
      <c r="G263" s="26"/>
      <c r="H263" s="26"/>
      <c r="I263" s="26"/>
      <c r="J263" s="26"/>
    </row>
    <row r="264" spans="1:10" x14ac:dyDescent="0.25">
      <c r="A264" s="26"/>
      <c r="B264" s="25" t="s">
        <v>209</v>
      </c>
      <c r="C264" s="27">
        <v>2</v>
      </c>
      <c r="D264" s="25" t="s">
        <v>214</v>
      </c>
      <c r="E264" s="26"/>
      <c r="F264" s="26"/>
      <c r="G264" s="26"/>
      <c r="H264" s="26"/>
      <c r="I264" s="26"/>
      <c r="J264" s="26"/>
    </row>
    <row r="265" spans="1:10" x14ac:dyDescent="0.25">
      <c r="A265" s="26"/>
      <c r="B265" s="32"/>
      <c r="C265" s="33"/>
      <c r="D265" s="32"/>
      <c r="E265" s="26"/>
      <c r="F265" s="26"/>
      <c r="G265" s="26"/>
      <c r="H265" s="26"/>
      <c r="I265" s="26"/>
      <c r="J265" s="26"/>
    </row>
    <row r="266" spans="1:10" x14ac:dyDescent="0.25">
      <c r="A266" s="24" t="s">
        <v>238</v>
      </c>
      <c r="B266" s="187" t="s">
        <v>229</v>
      </c>
      <c r="C266" s="188"/>
      <c r="D266" s="188"/>
      <c r="E266" s="188"/>
      <c r="F266" s="188"/>
      <c r="G266" s="188"/>
      <c r="H266" s="188"/>
      <c r="I266" s="188"/>
      <c r="J266" s="189"/>
    </row>
    <row r="267" spans="1:10" x14ac:dyDescent="0.25">
      <c r="A267" s="26"/>
      <c r="B267" s="22"/>
      <c r="C267" s="22"/>
      <c r="D267" s="26"/>
      <c r="E267" s="26"/>
      <c r="F267" s="26"/>
      <c r="G267" s="26"/>
      <c r="H267" s="26"/>
      <c r="I267" s="26"/>
      <c r="J267" s="26"/>
    </row>
    <row r="268" spans="1:10" x14ac:dyDescent="0.25">
      <c r="A268" s="26"/>
      <c r="B268" s="28" t="s">
        <v>215</v>
      </c>
      <c r="C268" s="25" t="s">
        <v>161</v>
      </c>
      <c r="D268" s="25"/>
      <c r="E268" s="25" t="s">
        <v>161</v>
      </c>
      <c r="F268" s="26"/>
      <c r="G268" s="26"/>
      <c r="H268" s="26"/>
      <c r="I268" s="26"/>
      <c r="J268" s="26"/>
    </row>
    <row r="269" spans="1:10" x14ac:dyDescent="0.25">
      <c r="A269" s="26"/>
      <c r="B269" s="25" t="s">
        <v>209</v>
      </c>
      <c r="C269" s="29">
        <v>27.69</v>
      </c>
      <c r="D269" s="25" t="s">
        <v>210</v>
      </c>
      <c r="E269" s="25">
        <v>1.1000000000000001</v>
      </c>
      <c r="F269" s="26"/>
      <c r="G269" s="26"/>
      <c r="H269" s="26"/>
      <c r="I269" s="26"/>
      <c r="J269" s="26"/>
    </row>
    <row r="270" spans="1:10" x14ac:dyDescent="0.25">
      <c r="A270" s="26"/>
      <c r="B270" s="32"/>
      <c r="C270" s="33"/>
      <c r="D270" s="32"/>
      <c r="E270" s="26"/>
      <c r="F270" s="26"/>
      <c r="G270" s="26"/>
      <c r="H270" s="26"/>
      <c r="I270" s="26"/>
      <c r="J270" s="26"/>
    </row>
    <row r="271" spans="1:10" ht="15" customHeight="1" x14ac:dyDescent="0.25">
      <c r="B271" s="25" t="s">
        <v>209</v>
      </c>
      <c r="C271" s="27">
        <f>C269*E269</f>
        <v>30.459000000000003</v>
      </c>
      <c r="D271" s="25" t="s">
        <v>147</v>
      </c>
    </row>
    <row r="272" spans="1:10" ht="15" customHeight="1" x14ac:dyDescent="0.25"/>
    <row r="273" spans="1:10" ht="16.5" customHeight="1" x14ac:dyDescent="0.25">
      <c r="A273" s="23">
        <v>8</v>
      </c>
      <c r="B273" s="190" t="s">
        <v>27</v>
      </c>
      <c r="C273" s="191"/>
      <c r="D273" s="191"/>
      <c r="E273" s="191"/>
      <c r="F273" s="191"/>
      <c r="G273" s="191"/>
      <c r="H273" s="191"/>
      <c r="I273" s="191"/>
      <c r="J273" s="192"/>
    </row>
    <row r="274" spans="1:10" ht="15" customHeight="1" x14ac:dyDescent="0.25">
      <c r="A274" s="24" t="s">
        <v>103</v>
      </c>
      <c r="B274" s="187" t="s">
        <v>56</v>
      </c>
      <c r="C274" s="188"/>
      <c r="D274" s="188"/>
      <c r="E274" s="188"/>
      <c r="F274" s="188"/>
      <c r="G274" s="188"/>
      <c r="H274" s="188"/>
      <c r="I274" s="188"/>
      <c r="J274" s="189"/>
    </row>
    <row r="275" spans="1:10" ht="15" customHeight="1" x14ac:dyDescent="0.25">
      <c r="A275" s="26"/>
      <c r="B275" s="30" t="s">
        <v>213</v>
      </c>
      <c r="C275" s="30"/>
      <c r="D275" s="26"/>
      <c r="E275" s="26"/>
      <c r="F275" s="26"/>
      <c r="G275" s="26"/>
      <c r="H275" s="26"/>
      <c r="I275" s="26"/>
      <c r="J275" s="26"/>
    </row>
    <row r="276" spans="1:10" ht="15" customHeight="1" x14ac:dyDescent="0.25">
      <c r="A276" s="26"/>
      <c r="B276" s="28" t="s">
        <v>215</v>
      </c>
      <c r="C276" s="25" t="s">
        <v>147</v>
      </c>
      <c r="D276" s="25"/>
      <c r="E276" s="25" t="s">
        <v>212</v>
      </c>
      <c r="F276" s="26"/>
      <c r="G276" s="26"/>
      <c r="H276" s="26"/>
      <c r="I276" s="26"/>
      <c r="J276" s="26"/>
    </row>
    <row r="277" spans="1:10" x14ac:dyDescent="0.25">
      <c r="A277" s="26"/>
      <c r="B277" s="25" t="s">
        <v>209</v>
      </c>
      <c r="C277" s="29">
        <v>180.4</v>
      </c>
      <c r="D277" s="25" t="s">
        <v>210</v>
      </c>
      <c r="E277" s="25">
        <v>1</v>
      </c>
      <c r="F277" s="26"/>
      <c r="G277" s="26"/>
      <c r="H277" s="26"/>
      <c r="I277" s="26"/>
      <c r="J277" s="26"/>
    </row>
    <row r="278" spans="1:10" ht="14.25" customHeight="1" x14ac:dyDescent="0.25">
      <c r="A278" s="26"/>
      <c r="B278" s="25" t="s">
        <v>209</v>
      </c>
      <c r="C278" s="29">
        <v>114.32</v>
      </c>
      <c r="D278" s="25" t="s">
        <v>210</v>
      </c>
      <c r="E278" s="25">
        <v>1</v>
      </c>
      <c r="F278" s="26"/>
      <c r="G278" s="26"/>
      <c r="H278" s="26"/>
      <c r="I278" s="26"/>
      <c r="J278" s="26"/>
    </row>
    <row r="279" spans="1:10" ht="16.5" customHeight="1" x14ac:dyDescent="0.25">
      <c r="A279" s="26"/>
      <c r="B279" s="25" t="s">
        <v>209</v>
      </c>
      <c r="C279" s="29">
        <v>77.087999999999994</v>
      </c>
      <c r="D279" s="25" t="s">
        <v>210</v>
      </c>
      <c r="E279" s="25">
        <v>1</v>
      </c>
      <c r="F279" s="26"/>
      <c r="G279" s="26"/>
      <c r="H279" s="26"/>
      <c r="I279" s="26"/>
      <c r="J279" s="26"/>
    </row>
    <row r="280" spans="1:10" x14ac:dyDescent="0.25">
      <c r="A280" s="26"/>
      <c r="B280" s="25" t="s">
        <v>209</v>
      </c>
      <c r="C280" s="29">
        <v>24.9</v>
      </c>
      <c r="D280" s="25" t="s">
        <v>210</v>
      </c>
      <c r="E280" s="25">
        <v>1</v>
      </c>
      <c r="F280" s="26"/>
      <c r="G280" s="26"/>
      <c r="H280" s="26"/>
      <c r="I280" s="26"/>
      <c r="J280" s="26"/>
    </row>
    <row r="282" spans="1:10" ht="15" customHeight="1" x14ac:dyDescent="0.25">
      <c r="A282" s="26"/>
      <c r="B282" s="25" t="s">
        <v>209</v>
      </c>
      <c r="C282" s="27">
        <f>C277*E277+C278*E278+C279*E279+C280*E280</f>
        <v>396.70799999999997</v>
      </c>
      <c r="D282" s="25" t="s">
        <v>147</v>
      </c>
      <c r="E282" s="26"/>
      <c r="F282" s="26"/>
      <c r="G282" s="26"/>
      <c r="H282" s="26"/>
      <c r="I282" s="26"/>
      <c r="J282" s="26"/>
    </row>
    <row r="284" spans="1:10" ht="12" customHeight="1" x14ac:dyDescent="0.25">
      <c r="A284" s="24" t="s">
        <v>104</v>
      </c>
      <c r="B284" s="187" t="s">
        <v>57</v>
      </c>
      <c r="C284" s="188"/>
      <c r="D284" s="188"/>
      <c r="E284" s="188"/>
      <c r="F284" s="188"/>
      <c r="G284" s="188"/>
      <c r="H284" s="188"/>
      <c r="I284" s="188"/>
      <c r="J284" s="189"/>
    </row>
    <row r="285" spans="1:10" ht="16.5" customHeight="1" x14ac:dyDescent="0.25">
      <c r="A285" s="26"/>
      <c r="B285" s="188" t="s">
        <v>213</v>
      </c>
      <c r="C285" s="188"/>
      <c r="D285" s="26"/>
      <c r="E285" s="26"/>
      <c r="F285" s="26"/>
      <c r="G285" s="26"/>
      <c r="H285" s="26"/>
      <c r="I285" s="26"/>
      <c r="J285" s="26"/>
    </row>
    <row r="286" spans="1:10" x14ac:dyDescent="0.25">
      <c r="A286" s="26"/>
      <c r="B286" s="28" t="s">
        <v>215</v>
      </c>
      <c r="C286" s="25" t="s">
        <v>147</v>
      </c>
      <c r="D286" s="25"/>
      <c r="E286" s="25" t="s">
        <v>212</v>
      </c>
      <c r="F286" s="26"/>
      <c r="G286" s="26"/>
      <c r="H286" s="26"/>
      <c r="I286" s="26"/>
      <c r="J286" s="26"/>
    </row>
    <row r="287" spans="1:10" x14ac:dyDescent="0.25">
      <c r="B287" s="25" t="s">
        <v>209</v>
      </c>
      <c r="C287" s="29">
        <v>180.4</v>
      </c>
      <c r="D287" s="25" t="s">
        <v>210</v>
      </c>
      <c r="E287" s="25">
        <v>1</v>
      </c>
    </row>
    <row r="288" spans="1:10" x14ac:dyDescent="0.25">
      <c r="B288" s="25" t="s">
        <v>209</v>
      </c>
      <c r="C288" s="29">
        <v>114.32</v>
      </c>
      <c r="D288" s="25" t="s">
        <v>210</v>
      </c>
      <c r="E288" s="25">
        <v>1</v>
      </c>
    </row>
    <row r="289" spans="1:10" x14ac:dyDescent="0.25">
      <c r="B289" s="25" t="s">
        <v>209</v>
      </c>
      <c r="C289" s="29">
        <v>77.087999999999994</v>
      </c>
      <c r="D289" s="25" t="s">
        <v>210</v>
      </c>
      <c r="E289" s="25">
        <v>1</v>
      </c>
    </row>
    <row r="290" spans="1:10" x14ac:dyDescent="0.25">
      <c r="B290" s="25" t="s">
        <v>209</v>
      </c>
      <c r="C290" s="29">
        <v>24.9</v>
      </c>
      <c r="D290" s="25" t="s">
        <v>210</v>
      </c>
      <c r="E290" s="25">
        <v>1</v>
      </c>
    </row>
    <row r="292" spans="1:10" ht="12.75" customHeight="1" x14ac:dyDescent="0.25">
      <c r="A292" s="26"/>
      <c r="B292" s="25" t="s">
        <v>209</v>
      </c>
      <c r="C292" s="27">
        <f>C287*E287+C288*E288+C289*E289+C290*E290</f>
        <v>396.70799999999997</v>
      </c>
      <c r="D292" s="25" t="s">
        <v>147</v>
      </c>
    </row>
    <row r="293" spans="1:10" ht="12" customHeight="1" x14ac:dyDescent="0.25"/>
    <row r="294" spans="1:10" ht="12" customHeight="1" x14ac:dyDescent="0.25">
      <c r="A294" s="23">
        <v>9</v>
      </c>
      <c r="B294" s="190" t="s">
        <v>28</v>
      </c>
      <c r="C294" s="191"/>
      <c r="D294" s="191"/>
      <c r="E294" s="191"/>
      <c r="F294" s="191"/>
      <c r="G294" s="191"/>
      <c r="H294" s="191"/>
      <c r="I294" s="191"/>
      <c r="J294" s="192"/>
    </row>
    <row r="295" spans="1:10" ht="11.25" customHeight="1" x14ac:dyDescent="0.25">
      <c r="A295" s="24" t="s">
        <v>128</v>
      </c>
      <c r="B295" s="187" t="s">
        <v>29</v>
      </c>
      <c r="C295" s="188"/>
      <c r="D295" s="188"/>
      <c r="E295" s="188"/>
      <c r="F295" s="188"/>
      <c r="G295" s="188"/>
      <c r="H295" s="188"/>
      <c r="I295" s="188"/>
      <c r="J295" s="189"/>
    </row>
    <row r="296" spans="1:10" ht="18" customHeight="1" x14ac:dyDescent="0.25">
      <c r="A296" s="24" t="s">
        <v>239</v>
      </c>
      <c r="B296" s="187" t="s">
        <v>58</v>
      </c>
      <c r="C296" s="188"/>
      <c r="D296" s="188"/>
      <c r="E296" s="188"/>
      <c r="F296" s="188"/>
      <c r="G296" s="188"/>
      <c r="H296" s="188"/>
      <c r="I296" s="188"/>
      <c r="J296" s="189"/>
    </row>
    <row r="297" spans="1:10" ht="16.5" x14ac:dyDescent="0.25">
      <c r="A297" s="26"/>
      <c r="B297" s="30" t="s">
        <v>213</v>
      </c>
      <c r="C297" s="30"/>
      <c r="D297" s="26"/>
      <c r="E297" s="26"/>
      <c r="F297" s="26"/>
      <c r="G297" s="26"/>
      <c r="H297" s="26"/>
      <c r="I297" s="26"/>
      <c r="J297" s="26"/>
    </row>
    <row r="298" spans="1:10" ht="15" customHeight="1" x14ac:dyDescent="0.25">
      <c r="A298" s="26"/>
      <c r="B298" s="25" t="s">
        <v>209</v>
      </c>
      <c r="C298" s="27">
        <v>80</v>
      </c>
      <c r="D298" s="25" t="s">
        <v>161</v>
      </c>
      <c r="E298" s="26"/>
      <c r="F298" s="26"/>
      <c r="G298" s="26"/>
      <c r="H298" s="26"/>
      <c r="I298" s="26"/>
      <c r="J298" s="26"/>
    </row>
    <row r="300" spans="1:10" ht="16.5" customHeight="1" x14ac:dyDescent="0.25">
      <c r="A300" s="24" t="s">
        <v>240</v>
      </c>
      <c r="B300" s="187" t="s">
        <v>60</v>
      </c>
      <c r="C300" s="188"/>
      <c r="D300" s="188"/>
      <c r="E300" s="188"/>
      <c r="F300" s="188"/>
      <c r="G300" s="188"/>
      <c r="H300" s="188"/>
      <c r="I300" s="188"/>
      <c r="J300" s="189"/>
    </row>
    <row r="301" spans="1:10" ht="16.5" x14ac:dyDescent="0.25">
      <c r="A301" s="26"/>
      <c r="B301" s="30" t="s">
        <v>213</v>
      </c>
      <c r="C301" s="30"/>
      <c r="D301" s="26"/>
      <c r="E301" s="26"/>
      <c r="F301" s="26"/>
      <c r="G301" s="26"/>
      <c r="H301" s="26"/>
      <c r="I301" s="26"/>
      <c r="J301" s="26"/>
    </row>
    <row r="302" spans="1:10" ht="15" customHeight="1" x14ac:dyDescent="0.25">
      <c r="A302" s="26"/>
      <c r="B302" s="25" t="s">
        <v>209</v>
      </c>
      <c r="C302" s="27">
        <v>10</v>
      </c>
      <c r="D302" s="25" t="s">
        <v>161</v>
      </c>
      <c r="E302" s="26"/>
      <c r="F302" s="26"/>
      <c r="G302" s="26"/>
      <c r="H302" s="26"/>
      <c r="I302" s="26"/>
      <c r="J302" s="26"/>
    </row>
    <row r="304" spans="1:10" ht="14.25" customHeight="1" x14ac:dyDescent="0.25">
      <c r="A304" s="24" t="s">
        <v>241</v>
      </c>
      <c r="B304" s="187" t="s">
        <v>59</v>
      </c>
      <c r="C304" s="188"/>
      <c r="D304" s="188"/>
      <c r="E304" s="188"/>
      <c r="F304" s="188"/>
      <c r="G304" s="188"/>
      <c r="H304" s="188"/>
      <c r="I304" s="188"/>
      <c r="J304" s="189"/>
    </row>
    <row r="305" spans="1:10" x14ac:dyDescent="0.25">
      <c r="A305" s="26"/>
      <c r="B305" s="30"/>
      <c r="C305" s="30"/>
      <c r="D305" s="26"/>
      <c r="E305" s="26"/>
      <c r="F305" s="26"/>
      <c r="G305" s="26"/>
      <c r="H305" s="26"/>
      <c r="I305" s="26"/>
      <c r="J305" s="26"/>
    </row>
    <row r="306" spans="1:10" x14ac:dyDescent="0.25">
      <c r="A306" s="26"/>
      <c r="B306" s="25" t="s">
        <v>209</v>
      </c>
      <c r="C306" s="27">
        <v>6</v>
      </c>
      <c r="D306" s="25" t="s">
        <v>160</v>
      </c>
      <c r="E306" s="26"/>
      <c r="F306" s="26"/>
      <c r="G306" s="26"/>
      <c r="H306" s="26"/>
      <c r="I306" s="26"/>
      <c r="J306" s="26"/>
    </row>
    <row r="307" spans="1:10" ht="15" customHeight="1" x14ac:dyDescent="0.25"/>
    <row r="308" spans="1:10" x14ac:dyDescent="0.25">
      <c r="A308" s="24" t="s">
        <v>312</v>
      </c>
      <c r="B308" s="187" t="s">
        <v>314</v>
      </c>
      <c r="C308" s="188"/>
      <c r="D308" s="188"/>
      <c r="E308" s="188"/>
      <c r="F308" s="188"/>
      <c r="G308" s="188"/>
      <c r="H308" s="188"/>
      <c r="I308" s="188"/>
      <c r="J308" s="189"/>
    </row>
    <row r="309" spans="1:10" ht="17.25" customHeight="1" x14ac:dyDescent="0.25">
      <c r="A309" s="26"/>
      <c r="B309" s="35" t="s">
        <v>213</v>
      </c>
      <c r="C309" s="35"/>
      <c r="D309" s="26"/>
      <c r="E309" s="26"/>
      <c r="F309" s="26"/>
      <c r="G309" s="26"/>
      <c r="H309" s="26"/>
      <c r="I309" s="26"/>
      <c r="J309" s="26"/>
    </row>
    <row r="310" spans="1:10" x14ac:dyDescent="0.25">
      <c r="A310" s="26"/>
      <c r="B310" s="25" t="s">
        <v>209</v>
      </c>
      <c r="C310" s="27">
        <v>50</v>
      </c>
      <c r="D310" s="25" t="s">
        <v>161</v>
      </c>
      <c r="E310" s="26"/>
      <c r="F310" s="26"/>
      <c r="G310" s="26"/>
      <c r="H310" s="26"/>
      <c r="I310" s="26"/>
      <c r="J310" s="26"/>
    </row>
    <row r="311" spans="1:10" ht="15" customHeight="1" x14ac:dyDescent="0.25"/>
    <row r="312" spans="1:10" x14ac:dyDescent="0.25">
      <c r="A312" s="24" t="s">
        <v>313</v>
      </c>
      <c r="B312" s="187" t="s">
        <v>315</v>
      </c>
      <c r="C312" s="188"/>
      <c r="D312" s="188"/>
      <c r="E312" s="188"/>
      <c r="F312" s="188"/>
      <c r="G312" s="188"/>
      <c r="H312" s="188"/>
      <c r="I312" s="188"/>
      <c r="J312" s="189"/>
    </row>
    <row r="313" spans="1:10" ht="18.75" customHeight="1" x14ac:dyDescent="0.25">
      <c r="A313" s="26"/>
      <c r="B313" s="35"/>
      <c r="C313" s="35"/>
      <c r="D313" s="26"/>
      <c r="E313" s="26"/>
      <c r="F313" s="26"/>
      <c r="G313" s="26"/>
      <c r="H313" s="26"/>
      <c r="I313" s="26"/>
      <c r="J313" s="26"/>
    </row>
    <row r="314" spans="1:10" x14ac:dyDescent="0.25">
      <c r="A314" s="26"/>
      <c r="B314" s="25" t="s">
        <v>209</v>
      </c>
      <c r="C314" s="27">
        <v>25</v>
      </c>
      <c r="D314" s="25" t="s">
        <v>160</v>
      </c>
      <c r="E314" s="26"/>
      <c r="F314" s="26"/>
      <c r="G314" s="26"/>
      <c r="H314" s="26"/>
      <c r="I314" s="26"/>
      <c r="J314" s="26"/>
    </row>
    <row r="315" spans="1:10" ht="15" customHeight="1" x14ac:dyDescent="0.25"/>
    <row r="316" spans="1:10" x14ac:dyDescent="0.25">
      <c r="A316" s="24" t="s">
        <v>129</v>
      </c>
      <c r="B316" s="187" t="s">
        <v>30</v>
      </c>
      <c r="C316" s="188"/>
      <c r="D316" s="188"/>
      <c r="E316" s="188"/>
      <c r="F316" s="188"/>
      <c r="G316" s="188"/>
      <c r="H316" s="188"/>
      <c r="I316" s="188"/>
      <c r="J316" s="189"/>
    </row>
    <row r="317" spans="1:10" ht="19.5" customHeight="1" x14ac:dyDescent="0.25">
      <c r="A317" s="24" t="s">
        <v>242</v>
      </c>
      <c r="B317" s="187" t="s">
        <v>60</v>
      </c>
      <c r="C317" s="188"/>
      <c r="D317" s="188"/>
      <c r="E317" s="188"/>
      <c r="F317" s="188"/>
      <c r="G317" s="188"/>
      <c r="H317" s="188"/>
      <c r="I317" s="188"/>
      <c r="J317" s="189"/>
    </row>
    <row r="318" spans="1:10" ht="16.5" x14ac:dyDescent="0.25">
      <c r="A318" s="26"/>
      <c r="B318" s="30" t="s">
        <v>213</v>
      </c>
      <c r="C318" s="30"/>
      <c r="D318" s="26"/>
      <c r="E318" s="26"/>
      <c r="F318" s="26"/>
      <c r="G318" s="26"/>
      <c r="H318" s="26"/>
      <c r="I318" s="26"/>
      <c r="J318" s="26"/>
    </row>
    <row r="319" spans="1:10" ht="15" customHeight="1" x14ac:dyDescent="0.25">
      <c r="A319" s="26"/>
      <c r="B319" s="25" t="s">
        <v>209</v>
      </c>
      <c r="C319" s="27">
        <v>36</v>
      </c>
      <c r="D319" s="25" t="s">
        <v>161</v>
      </c>
      <c r="E319" s="26"/>
      <c r="F319" s="26"/>
      <c r="G319" s="26"/>
      <c r="H319" s="26"/>
      <c r="I319" s="26"/>
      <c r="J319" s="26"/>
    </row>
    <row r="321" spans="1:10" ht="18" customHeight="1" x14ac:dyDescent="0.25">
      <c r="A321" s="24" t="s">
        <v>242</v>
      </c>
      <c r="B321" s="187" t="s">
        <v>61</v>
      </c>
      <c r="C321" s="188"/>
      <c r="D321" s="188"/>
      <c r="E321" s="188"/>
      <c r="F321" s="188"/>
      <c r="G321" s="188"/>
      <c r="H321" s="188"/>
      <c r="I321" s="188"/>
      <c r="J321" s="189"/>
    </row>
    <row r="322" spans="1:10" ht="16.5" x14ac:dyDescent="0.25">
      <c r="A322" s="26"/>
      <c r="B322" s="30" t="s">
        <v>213</v>
      </c>
      <c r="C322" s="30"/>
      <c r="D322" s="26"/>
      <c r="E322" s="26"/>
      <c r="F322" s="26"/>
      <c r="G322" s="26"/>
      <c r="H322" s="26"/>
      <c r="I322" s="26"/>
      <c r="J322" s="26"/>
    </row>
    <row r="323" spans="1:10" ht="15" customHeight="1" x14ac:dyDescent="0.25">
      <c r="A323" s="26"/>
      <c r="B323" s="25" t="s">
        <v>209</v>
      </c>
      <c r="C323" s="27">
        <v>94</v>
      </c>
      <c r="D323" s="25" t="s">
        <v>161</v>
      </c>
      <c r="E323" s="26"/>
      <c r="F323" s="26"/>
      <c r="G323" s="26"/>
      <c r="H323" s="26"/>
      <c r="I323" s="26"/>
      <c r="J323" s="26"/>
    </row>
    <row r="325" spans="1:10" ht="19.5" customHeight="1" x14ac:dyDescent="0.25">
      <c r="A325" s="24" t="s">
        <v>244</v>
      </c>
      <c r="B325" s="187" t="s">
        <v>316</v>
      </c>
      <c r="C325" s="188"/>
      <c r="D325" s="188"/>
      <c r="E325" s="188"/>
      <c r="F325" s="188"/>
      <c r="G325" s="188"/>
      <c r="H325" s="188"/>
      <c r="I325" s="188"/>
      <c r="J325" s="189"/>
    </row>
    <row r="326" spans="1:10" ht="16.5" x14ac:dyDescent="0.25">
      <c r="A326" s="26"/>
      <c r="B326" s="35" t="s">
        <v>213</v>
      </c>
      <c r="C326" s="35"/>
      <c r="D326" s="26"/>
      <c r="E326" s="26"/>
      <c r="F326" s="26"/>
      <c r="G326" s="26"/>
      <c r="H326" s="26"/>
      <c r="I326" s="26"/>
      <c r="J326" s="26"/>
    </row>
    <row r="327" spans="1:10" ht="15" customHeight="1" x14ac:dyDescent="0.25">
      <c r="A327" s="26"/>
      <c r="B327" s="25" t="s">
        <v>209</v>
      </c>
      <c r="C327" s="27">
        <v>36</v>
      </c>
      <c r="D327" s="25" t="s">
        <v>161</v>
      </c>
      <c r="E327" s="26"/>
      <c r="F327" s="26"/>
      <c r="G327" s="26"/>
      <c r="H327" s="26"/>
      <c r="I327" s="26"/>
      <c r="J327" s="26"/>
    </row>
    <row r="329" spans="1:10" ht="15.75" customHeight="1" x14ac:dyDescent="0.25">
      <c r="A329" s="24" t="s">
        <v>245</v>
      </c>
      <c r="B329" s="187" t="s">
        <v>216</v>
      </c>
      <c r="C329" s="188"/>
      <c r="D329" s="188"/>
      <c r="E329" s="188"/>
      <c r="F329" s="188"/>
      <c r="G329" s="188"/>
      <c r="H329" s="188"/>
      <c r="I329" s="188"/>
      <c r="J329" s="189"/>
    </row>
    <row r="330" spans="1:10" ht="16.5" x14ac:dyDescent="0.25">
      <c r="A330" s="26"/>
      <c r="B330" s="35" t="s">
        <v>213</v>
      </c>
      <c r="C330" s="35"/>
      <c r="D330" s="26"/>
      <c r="E330" s="26"/>
      <c r="F330" s="26"/>
      <c r="G330" s="26"/>
      <c r="H330" s="26"/>
      <c r="I330" s="26"/>
      <c r="J330" s="26"/>
    </row>
    <row r="331" spans="1:10" ht="15" customHeight="1" x14ac:dyDescent="0.25">
      <c r="A331" s="26"/>
      <c r="B331" s="25" t="s">
        <v>209</v>
      </c>
      <c r="C331" s="27">
        <v>18</v>
      </c>
      <c r="D331" s="25" t="s">
        <v>161</v>
      </c>
      <c r="E331" s="26"/>
      <c r="F331" s="26"/>
      <c r="G331" s="26"/>
      <c r="H331" s="26"/>
      <c r="I331" s="26"/>
      <c r="J331" s="26"/>
    </row>
    <row r="333" spans="1:10" ht="15" customHeight="1" x14ac:dyDescent="0.25">
      <c r="A333" s="24" t="s">
        <v>246</v>
      </c>
      <c r="B333" s="187" t="s">
        <v>63</v>
      </c>
      <c r="C333" s="188"/>
      <c r="D333" s="188"/>
      <c r="E333" s="188"/>
      <c r="F333" s="188"/>
      <c r="G333" s="188"/>
      <c r="H333" s="188"/>
      <c r="I333" s="188"/>
      <c r="J333" s="189"/>
    </row>
    <row r="334" spans="1:10" x14ac:dyDescent="0.25">
      <c r="A334" s="26"/>
      <c r="B334" s="35"/>
      <c r="C334" s="35"/>
      <c r="D334" s="26"/>
      <c r="E334" s="26"/>
      <c r="F334" s="26"/>
      <c r="G334" s="26"/>
      <c r="H334" s="26"/>
      <c r="I334" s="26"/>
      <c r="J334" s="26"/>
    </row>
    <row r="335" spans="1:10" ht="15" customHeight="1" x14ac:dyDescent="0.25">
      <c r="A335" s="26"/>
      <c r="B335" s="25" t="s">
        <v>209</v>
      </c>
      <c r="C335" s="27">
        <v>3</v>
      </c>
      <c r="D335" s="25" t="s">
        <v>160</v>
      </c>
      <c r="E335" s="26"/>
      <c r="F335" s="26"/>
      <c r="G335" s="26"/>
      <c r="H335" s="26"/>
      <c r="I335" s="26"/>
      <c r="J335" s="26"/>
    </row>
    <row r="337" spans="1:10" ht="15" customHeight="1" x14ac:dyDescent="0.25">
      <c r="A337" s="24" t="s">
        <v>247</v>
      </c>
      <c r="B337" s="187" t="s">
        <v>64</v>
      </c>
      <c r="C337" s="188"/>
      <c r="D337" s="188"/>
      <c r="E337" s="188"/>
      <c r="F337" s="188"/>
      <c r="G337" s="188"/>
      <c r="H337" s="188"/>
      <c r="I337" s="188"/>
      <c r="J337" s="189"/>
    </row>
    <row r="338" spans="1:10" ht="16.5" x14ac:dyDescent="0.25">
      <c r="A338" s="26"/>
      <c r="B338" s="35" t="s">
        <v>213</v>
      </c>
      <c r="C338" s="35"/>
      <c r="D338" s="26"/>
      <c r="E338" s="26"/>
      <c r="F338" s="26"/>
      <c r="G338" s="26"/>
      <c r="H338" s="26"/>
      <c r="I338" s="26"/>
      <c r="J338" s="26"/>
    </row>
    <row r="339" spans="1:10" x14ac:dyDescent="0.25">
      <c r="A339" s="26"/>
      <c r="B339" s="25" t="s">
        <v>209</v>
      </c>
      <c r="C339" s="27">
        <v>2</v>
      </c>
      <c r="D339" s="25" t="s">
        <v>160</v>
      </c>
      <c r="E339" s="26"/>
      <c r="F339" s="26"/>
      <c r="G339" s="26"/>
      <c r="H339" s="26"/>
      <c r="I339" s="26"/>
      <c r="J339" s="26"/>
    </row>
    <row r="340" spans="1:10" ht="15" customHeight="1" x14ac:dyDescent="0.25"/>
    <row r="341" spans="1:10" ht="14.25" customHeight="1" x14ac:dyDescent="0.25">
      <c r="A341" s="24" t="s">
        <v>248</v>
      </c>
      <c r="B341" s="187" t="s">
        <v>65</v>
      </c>
      <c r="C341" s="188"/>
      <c r="D341" s="188"/>
      <c r="E341" s="188"/>
      <c r="F341" s="188"/>
      <c r="G341" s="188"/>
      <c r="H341" s="188"/>
      <c r="I341" s="188"/>
      <c r="J341" s="189"/>
    </row>
    <row r="342" spans="1:10" ht="15" customHeight="1" x14ac:dyDescent="0.25">
      <c r="A342" s="26"/>
      <c r="B342" s="35"/>
      <c r="C342" s="35"/>
      <c r="D342" s="26"/>
      <c r="E342" s="26"/>
      <c r="F342" s="26"/>
      <c r="G342" s="26"/>
      <c r="H342" s="26"/>
      <c r="I342" s="26"/>
      <c r="J342" s="26"/>
    </row>
    <row r="343" spans="1:10" x14ac:dyDescent="0.25">
      <c r="A343" s="26"/>
      <c r="B343" s="25" t="s">
        <v>209</v>
      </c>
      <c r="C343" s="27">
        <v>5</v>
      </c>
      <c r="D343" s="25" t="s">
        <v>160</v>
      </c>
      <c r="E343" s="26"/>
      <c r="F343" s="26"/>
      <c r="G343" s="26"/>
      <c r="H343" s="26"/>
      <c r="I343" s="26"/>
      <c r="J343" s="26"/>
    </row>
    <row r="344" spans="1:10" ht="15" customHeight="1" x14ac:dyDescent="0.25"/>
    <row r="345" spans="1:10" ht="13.5" customHeight="1" x14ac:dyDescent="0.25">
      <c r="A345" s="24" t="s">
        <v>249</v>
      </c>
      <c r="B345" s="187" t="s">
        <v>66</v>
      </c>
      <c r="C345" s="188"/>
      <c r="D345" s="188"/>
      <c r="E345" s="188"/>
      <c r="F345" s="188"/>
      <c r="G345" s="188"/>
      <c r="H345" s="188"/>
      <c r="I345" s="188"/>
      <c r="J345" s="189"/>
    </row>
    <row r="346" spans="1:10" ht="19.5" customHeight="1" x14ac:dyDescent="0.25">
      <c r="A346" s="26"/>
      <c r="B346" s="35"/>
      <c r="C346" s="35"/>
      <c r="D346" s="26"/>
      <c r="E346" s="26"/>
      <c r="F346" s="26"/>
      <c r="G346" s="26"/>
      <c r="H346" s="26"/>
      <c r="I346" s="26"/>
      <c r="J346" s="26"/>
    </row>
    <row r="347" spans="1:10" x14ac:dyDescent="0.25">
      <c r="A347" s="26"/>
      <c r="B347" s="25" t="s">
        <v>209</v>
      </c>
      <c r="C347" s="27">
        <v>12</v>
      </c>
      <c r="D347" s="25" t="s">
        <v>160</v>
      </c>
      <c r="E347" s="26"/>
      <c r="F347" s="26"/>
      <c r="G347" s="26"/>
      <c r="H347" s="26"/>
      <c r="I347" s="26"/>
      <c r="J347" s="26"/>
    </row>
    <row r="348" spans="1:10" ht="15" customHeight="1" x14ac:dyDescent="0.25"/>
    <row r="349" spans="1:10" x14ac:dyDescent="0.25">
      <c r="A349" s="24" t="s">
        <v>130</v>
      </c>
      <c r="B349" s="34" t="s">
        <v>67</v>
      </c>
      <c r="C349" s="35"/>
      <c r="D349" s="35"/>
      <c r="E349" s="35"/>
      <c r="F349" s="35"/>
      <c r="G349" s="35"/>
      <c r="H349" s="35"/>
      <c r="I349" s="35"/>
      <c r="J349" s="36"/>
    </row>
    <row r="350" spans="1:10" ht="14.25" customHeight="1" x14ac:dyDescent="0.25">
      <c r="A350" s="24" t="s">
        <v>250</v>
      </c>
      <c r="B350" s="187" t="s">
        <v>68</v>
      </c>
      <c r="C350" s="188"/>
      <c r="D350" s="188"/>
      <c r="E350" s="188"/>
      <c r="F350" s="188"/>
      <c r="G350" s="188"/>
      <c r="H350" s="188"/>
      <c r="I350" s="188"/>
      <c r="J350" s="189"/>
    </row>
    <row r="351" spans="1:10" ht="16.5" x14ac:dyDescent="0.25">
      <c r="B351" s="35" t="s">
        <v>213</v>
      </c>
      <c r="C351" s="35"/>
      <c r="D351" s="26"/>
    </row>
    <row r="352" spans="1:10" ht="15" customHeight="1" x14ac:dyDescent="0.25">
      <c r="B352" s="25" t="s">
        <v>209</v>
      </c>
      <c r="C352" s="27">
        <v>37</v>
      </c>
      <c r="D352" s="25" t="s">
        <v>161</v>
      </c>
    </row>
    <row r="353" spans="1:10" ht="15" customHeight="1" x14ac:dyDescent="0.25"/>
    <row r="354" spans="1:10" ht="14.25" customHeight="1" x14ac:dyDescent="0.25">
      <c r="A354" s="24" t="s">
        <v>251</v>
      </c>
      <c r="B354" s="187" t="s">
        <v>323</v>
      </c>
      <c r="C354" s="188"/>
      <c r="D354" s="188"/>
      <c r="E354" s="188"/>
      <c r="F354" s="188"/>
      <c r="G354" s="188"/>
      <c r="H354" s="188"/>
      <c r="I354" s="188"/>
      <c r="J354" s="189"/>
    </row>
    <row r="355" spans="1:10" ht="18.75" customHeight="1" x14ac:dyDescent="0.25">
      <c r="B355" s="35" t="s">
        <v>213</v>
      </c>
      <c r="C355" s="35"/>
      <c r="D355" s="26"/>
    </row>
    <row r="356" spans="1:10" x14ac:dyDescent="0.25">
      <c r="B356" s="25" t="s">
        <v>209</v>
      </c>
      <c r="C356" s="27">
        <v>72</v>
      </c>
      <c r="D356" s="25" t="s">
        <v>161</v>
      </c>
    </row>
    <row r="357" spans="1:10" ht="15" customHeight="1" x14ac:dyDescent="0.25"/>
    <row r="358" spans="1:10" ht="15" customHeight="1" x14ac:dyDescent="0.25">
      <c r="A358" s="24" t="s">
        <v>131</v>
      </c>
      <c r="B358" s="187" t="s">
        <v>31</v>
      </c>
      <c r="C358" s="188"/>
      <c r="D358" s="188"/>
      <c r="E358" s="188"/>
      <c r="F358" s="188"/>
      <c r="G358" s="188"/>
      <c r="H358" s="188"/>
      <c r="I358" s="188"/>
      <c r="J358" s="189"/>
    </row>
    <row r="359" spans="1:10" x14ac:dyDescent="0.25">
      <c r="A359" s="24" t="s">
        <v>252</v>
      </c>
      <c r="B359" s="187" t="s">
        <v>69</v>
      </c>
      <c r="C359" s="188"/>
      <c r="D359" s="188"/>
      <c r="E359" s="188"/>
      <c r="F359" s="188"/>
      <c r="G359" s="188"/>
      <c r="H359" s="188"/>
      <c r="I359" s="188"/>
      <c r="J359" s="189"/>
    </row>
    <row r="360" spans="1:10" x14ac:dyDescent="0.25">
      <c r="B360" s="35"/>
      <c r="C360" s="35"/>
      <c r="D360" s="26"/>
    </row>
    <row r="361" spans="1:10" ht="15" customHeight="1" x14ac:dyDescent="0.25">
      <c r="B361" s="25" t="s">
        <v>209</v>
      </c>
      <c r="C361" s="27">
        <v>7</v>
      </c>
      <c r="D361" s="25" t="s">
        <v>160</v>
      </c>
    </row>
    <row r="363" spans="1:10" ht="15.75" customHeight="1" x14ac:dyDescent="0.25">
      <c r="A363" s="24" t="s">
        <v>253</v>
      </c>
      <c r="B363" s="187" t="s">
        <v>70</v>
      </c>
      <c r="C363" s="188"/>
      <c r="D363" s="188"/>
      <c r="E363" s="188"/>
      <c r="F363" s="188"/>
      <c r="G363" s="188"/>
      <c r="H363" s="188"/>
      <c r="I363" s="188"/>
      <c r="J363" s="189"/>
    </row>
    <row r="364" spans="1:10" x14ac:dyDescent="0.25">
      <c r="B364" s="35"/>
      <c r="C364" s="35"/>
      <c r="D364" s="26"/>
    </row>
    <row r="365" spans="1:10" ht="15" customHeight="1" x14ac:dyDescent="0.25">
      <c r="B365" s="25" t="s">
        <v>209</v>
      </c>
      <c r="C365" s="27">
        <v>15</v>
      </c>
      <c r="D365" s="25" t="s">
        <v>160</v>
      </c>
    </row>
    <row r="367" spans="1:10" ht="14.25" customHeight="1" x14ac:dyDescent="0.25">
      <c r="A367" s="24" t="s">
        <v>254</v>
      </c>
      <c r="B367" s="187" t="s">
        <v>71</v>
      </c>
      <c r="C367" s="188"/>
      <c r="D367" s="188"/>
      <c r="E367" s="188"/>
      <c r="F367" s="188"/>
      <c r="G367" s="188"/>
      <c r="H367" s="188"/>
      <c r="I367" s="188"/>
      <c r="J367" s="189"/>
    </row>
    <row r="368" spans="1:10" x14ac:dyDescent="0.25">
      <c r="B368" s="35"/>
      <c r="C368" s="35"/>
      <c r="D368" s="26"/>
    </row>
    <row r="369" spans="1:10" ht="15" customHeight="1" x14ac:dyDescent="0.25">
      <c r="B369" s="25" t="s">
        <v>209</v>
      </c>
      <c r="C369" s="27">
        <v>15</v>
      </c>
      <c r="D369" s="25" t="s">
        <v>160</v>
      </c>
    </row>
    <row r="370" spans="1:10" ht="15" customHeight="1" x14ac:dyDescent="0.25"/>
    <row r="371" spans="1:10" ht="14.25" customHeight="1" x14ac:dyDescent="0.25">
      <c r="A371" s="24" t="s">
        <v>255</v>
      </c>
      <c r="B371" s="187" t="s">
        <v>72</v>
      </c>
      <c r="C371" s="188"/>
      <c r="D371" s="188"/>
      <c r="E371" s="188"/>
      <c r="F371" s="188"/>
      <c r="G371" s="188"/>
      <c r="H371" s="188"/>
      <c r="I371" s="188"/>
      <c r="J371" s="189"/>
    </row>
    <row r="372" spans="1:10" ht="15" customHeight="1" x14ac:dyDescent="0.25">
      <c r="B372" s="35"/>
      <c r="C372" s="35"/>
      <c r="D372" s="26"/>
    </row>
    <row r="373" spans="1:10" x14ac:dyDescent="0.25">
      <c r="B373" s="25" t="s">
        <v>209</v>
      </c>
      <c r="C373" s="27">
        <v>7</v>
      </c>
      <c r="D373" s="25" t="s">
        <v>160</v>
      </c>
    </row>
    <row r="374" spans="1:10" ht="15" customHeight="1" x14ac:dyDescent="0.25"/>
    <row r="375" spans="1:10" ht="15" customHeight="1" x14ac:dyDescent="0.25">
      <c r="A375" s="24" t="s">
        <v>256</v>
      </c>
      <c r="B375" s="187" t="s">
        <v>73</v>
      </c>
      <c r="C375" s="188"/>
      <c r="D375" s="188"/>
      <c r="E375" s="188"/>
      <c r="F375" s="188"/>
      <c r="G375" s="188"/>
      <c r="H375" s="188"/>
      <c r="I375" s="188"/>
      <c r="J375" s="189"/>
    </row>
    <row r="376" spans="1:10" ht="15.75" customHeight="1" x14ac:dyDescent="0.25">
      <c r="B376" s="35"/>
      <c r="C376" s="35"/>
      <c r="D376" s="26"/>
    </row>
    <row r="377" spans="1:10" x14ac:dyDescent="0.25">
      <c r="B377" s="25" t="s">
        <v>209</v>
      </c>
      <c r="C377" s="27">
        <v>17</v>
      </c>
      <c r="D377" s="25" t="s">
        <v>160</v>
      </c>
    </row>
    <row r="378" spans="1:10" ht="15" customHeight="1" x14ac:dyDescent="0.25"/>
    <row r="379" spans="1:10" ht="15" customHeight="1" x14ac:dyDescent="0.25">
      <c r="A379" s="23">
        <v>10</v>
      </c>
      <c r="B379" s="190" t="s">
        <v>32</v>
      </c>
      <c r="C379" s="191"/>
      <c r="D379" s="191"/>
      <c r="E379" s="191"/>
      <c r="F379" s="191"/>
      <c r="G379" s="191"/>
      <c r="H379" s="191"/>
      <c r="I379" s="191"/>
      <c r="J379" s="192"/>
    </row>
    <row r="380" spans="1:10" ht="15" customHeight="1" x14ac:dyDescent="0.25">
      <c r="A380" s="24" t="s">
        <v>132</v>
      </c>
      <c r="B380" s="187" t="s">
        <v>74</v>
      </c>
      <c r="C380" s="188"/>
      <c r="D380" s="188"/>
      <c r="E380" s="188"/>
      <c r="F380" s="188"/>
      <c r="G380" s="188"/>
      <c r="H380" s="188"/>
      <c r="I380" s="188"/>
      <c r="J380" s="189"/>
    </row>
    <row r="381" spans="1:10" x14ac:dyDescent="0.25">
      <c r="A381" s="26"/>
      <c r="B381" s="35"/>
      <c r="C381" s="35"/>
      <c r="D381" s="26"/>
      <c r="E381" s="26"/>
      <c r="F381" s="26"/>
      <c r="G381" s="26"/>
      <c r="H381" s="26"/>
      <c r="I381" s="26"/>
      <c r="J381" s="26"/>
    </row>
    <row r="382" spans="1:10" ht="15" customHeight="1" x14ac:dyDescent="0.25">
      <c r="A382" s="26"/>
      <c r="B382" s="25" t="s">
        <v>209</v>
      </c>
      <c r="C382" s="27">
        <v>1</v>
      </c>
      <c r="D382" s="25" t="s">
        <v>160</v>
      </c>
      <c r="E382" s="26"/>
      <c r="F382" s="26"/>
      <c r="G382" s="26"/>
      <c r="H382" s="26"/>
      <c r="I382" s="26"/>
      <c r="J382" s="26"/>
    </row>
    <row r="384" spans="1:10" ht="14.25" customHeight="1" x14ac:dyDescent="0.25">
      <c r="A384" s="24" t="s">
        <v>133</v>
      </c>
      <c r="B384" s="187" t="s">
        <v>75</v>
      </c>
      <c r="C384" s="188"/>
      <c r="D384" s="188"/>
      <c r="E384" s="188"/>
      <c r="F384" s="188"/>
      <c r="G384" s="188"/>
      <c r="H384" s="188"/>
      <c r="I384" s="188"/>
      <c r="J384" s="189"/>
    </row>
    <row r="385" spans="1:10" x14ac:dyDescent="0.25">
      <c r="A385" s="26"/>
      <c r="B385" s="35"/>
      <c r="C385" s="35"/>
      <c r="D385" s="26"/>
      <c r="E385" s="26"/>
      <c r="F385" s="26"/>
      <c r="G385" s="26"/>
      <c r="H385" s="26"/>
      <c r="I385" s="26"/>
      <c r="J385" s="26"/>
    </row>
    <row r="386" spans="1:10" ht="15" customHeight="1" x14ac:dyDescent="0.25">
      <c r="A386" s="26"/>
      <c r="B386" s="25" t="s">
        <v>209</v>
      </c>
      <c r="C386" s="27">
        <v>7</v>
      </c>
      <c r="D386" s="25" t="s">
        <v>160</v>
      </c>
      <c r="E386" s="26"/>
      <c r="F386" s="26"/>
      <c r="G386" s="26"/>
      <c r="H386" s="26"/>
      <c r="I386" s="26"/>
      <c r="J386" s="26"/>
    </row>
    <row r="388" spans="1:10" ht="14.25" customHeight="1" x14ac:dyDescent="0.25">
      <c r="A388" s="24" t="s">
        <v>134</v>
      </c>
      <c r="B388" s="187" t="s">
        <v>86</v>
      </c>
      <c r="C388" s="188"/>
      <c r="D388" s="188"/>
      <c r="E388" s="188"/>
      <c r="F388" s="188"/>
      <c r="G388" s="188"/>
      <c r="H388" s="188"/>
      <c r="I388" s="188"/>
      <c r="J388" s="189"/>
    </row>
    <row r="389" spans="1:10" x14ac:dyDescent="0.25">
      <c r="A389" s="26"/>
      <c r="B389" s="35"/>
      <c r="C389" s="35"/>
      <c r="D389" s="26"/>
      <c r="E389" s="26"/>
      <c r="F389" s="26"/>
      <c r="G389" s="26"/>
      <c r="H389" s="26"/>
      <c r="I389" s="26"/>
      <c r="J389" s="26"/>
    </row>
    <row r="390" spans="1:10" ht="15" customHeight="1" x14ac:dyDescent="0.25">
      <c r="A390" s="26"/>
      <c r="B390" s="25" t="s">
        <v>209</v>
      </c>
      <c r="C390" s="27">
        <v>9</v>
      </c>
      <c r="D390" s="25" t="s">
        <v>160</v>
      </c>
      <c r="E390" s="26"/>
      <c r="F390" s="26"/>
      <c r="G390" s="26"/>
      <c r="H390" s="26"/>
      <c r="I390" s="26"/>
      <c r="J390" s="26"/>
    </row>
    <row r="392" spans="1:10" ht="15.75" customHeight="1" x14ac:dyDescent="0.25">
      <c r="A392" s="24" t="s">
        <v>135</v>
      </c>
      <c r="B392" s="187" t="s">
        <v>76</v>
      </c>
      <c r="C392" s="188"/>
      <c r="D392" s="188"/>
      <c r="E392" s="188"/>
      <c r="F392" s="188"/>
      <c r="G392" s="188"/>
      <c r="H392" s="188"/>
      <c r="I392" s="188"/>
      <c r="J392" s="189"/>
    </row>
    <row r="393" spans="1:10" x14ac:dyDescent="0.25">
      <c r="A393" s="26"/>
      <c r="B393" s="35"/>
      <c r="C393" s="35"/>
      <c r="D393" s="26"/>
      <c r="E393" s="26"/>
      <c r="F393" s="26"/>
      <c r="G393" s="26"/>
      <c r="H393" s="26"/>
      <c r="I393" s="26"/>
      <c r="J393" s="26"/>
    </row>
    <row r="394" spans="1:10" ht="15" customHeight="1" x14ac:dyDescent="0.25">
      <c r="A394" s="26"/>
      <c r="B394" s="25" t="s">
        <v>209</v>
      </c>
      <c r="C394" s="27">
        <v>12</v>
      </c>
      <c r="D394" s="25" t="s">
        <v>160</v>
      </c>
      <c r="E394" s="26"/>
      <c r="F394" s="26"/>
      <c r="G394" s="26"/>
      <c r="H394" s="26"/>
      <c r="I394" s="26"/>
      <c r="J394" s="26"/>
    </row>
    <row r="396" spans="1:10" ht="14.25" customHeight="1" x14ac:dyDescent="0.25">
      <c r="A396" s="24" t="s">
        <v>257</v>
      </c>
      <c r="B396" s="187" t="s">
        <v>77</v>
      </c>
      <c r="C396" s="188"/>
      <c r="D396" s="188"/>
      <c r="E396" s="188"/>
      <c r="F396" s="188"/>
      <c r="G396" s="188"/>
      <c r="H396" s="188"/>
      <c r="I396" s="188"/>
      <c r="J396" s="189"/>
    </row>
    <row r="397" spans="1:10" x14ac:dyDescent="0.25">
      <c r="A397" s="26"/>
      <c r="B397" s="35"/>
      <c r="C397" s="35"/>
      <c r="D397" s="26"/>
      <c r="E397" s="26"/>
      <c r="F397" s="26"/>
      <c r="G397" s="26"/>
      <c r="H397" s="26"/>
      <c r="I397" s="26"/>
      <c r="J397" s="26"/>
    </row>
    <row r="398" spans="1:10" ht="15" customHeight="1" x14ac:dyDescent="0.25">
      <c r="A398" s="26"/>
      <c r="B398" s="25" t="s">
        <v>209</v>
      </c>
      <c r="C398" s="27">
        <v>25</v>
      </c>
      <c r="D398" s="25" t="s">
        <v>160</v>
      </c>
      <c r="E398" s="26"/>
      <c r="F398" s="26"/>
      <c r="G398" s="26"/>
      <c r="H398" s="26"/>
      <c r="I398" s="26"/>
      <c r="J398" s="26"/>
    </row>
    <row r="400" spans="1:10" ht="13.5" customHeight="1" x14ac:dyDescent="0.25">
      <c r="A400" s="24" t="s">
        <v>258</v>
      </c>
      <c r="B400" s="187" t="s">
        <v>78</v>
      </c>
      <c r="C400" s="188"/>
      <c r="D400" s="188"/>
      <c r="E400" s="188"/>
      <c r="F400" s="188"/>
      <c r="G400" s="188"/>
      <c r="H400" s="188"/>
      <c r="I400" s="188"/>
      <c r="J400" s="189"/>
    </row>
    <row r="401" spans="1:10" x14ac:dyDescent="0.25">
      <c r="A401" s="26"/>
      <c r="B401" s="35"/>
      <c r="C401" s="35"/>
      <c r="D401" s="26"/>
      <c r="E401" s="26"/>
      <c r="F401" s="26"/>
      <c r="G401" s="26"/>
      <c r="H401" s="26"/>
      <c r="I401" s="26"/>
      <c r="J401" s="26"/>
    </row>
    <row r="402" spans="1:10" ht="15" customHeight="1" x14ac:dyDescent="0.25">
      <c r="A402" s="26"/>
      <c r="B402" s="25" t="s">
        <v>209</v>
      </c>
      <c r="C402" s="27">
        <v>10</v>
      </c>
      <c r="D402" s="25" t="s">
        <v>160</v>
      </c>
      <c r="E402" s="26"/>
      <c r="F402" s="26"/>
      <c r="G402" s="26"/>
      <c r="H402" s="26"/>
      <c r="I402" s="26"/>
      <c r="J402" s="26"/>
    </row>
    <row r="404" spans="1:10" ht="15.75" customHeight="1" x14ac:dyDescent="0.25">
      <c r="A404" s="24" t="s">
        <v>259</v>
      </c>
      <c r="B404" s="187" t="s">
        <v>79</v>
      </c>
      <c r="C404" s="188"/>
      <c r="D404" s="188"/>
      <c r="E404" s="188"/>
      <c r="F404" s="188"/>
      <c r="G404" s="188"/>
      <c r="H404" s="188"/>
      <c r="I404" s="188"/>
      <c r="J404" s="189"/>
    </row>
    <row r="405" spans="1:10" x14ac:dyDescent="0.25">
      <c r="A405" s="26"/>
      <c r="B405" s="35"/>
      <c r="C405" s="35"/>
      <c r="D405" s="26"/>
      <c r="E405" s="26"/>
      <c r="F405" s="26"/>
      <c r="G405" s="26"/>
      <c r="H405" s="26"/>
      <c r="I405" s="26"/>
      <c r="J405" s="26"/>
    </row>
    <row r="406" spans="1:10" ht="15" customHeight="1" x14ac:dyDescent="0.25">
      <c r="A406" s="26"/>
      <c r="B406" s="25" t="s">
        <v>209</v>
      </c>
      <c r="C406" s="27">
        <v>17</v>
      </c>
      <c r="D406" s="25" t="s">
        <v>160</v>
      </c>
      <c r="E406" s="26"/>
      <c r="F406" s="26"/>
      <c r="G406" s="26"/>
      <c r="H406" s="26"/>
      <c r="I406" s="26"/>
      <c r="J406" s="26"/>
    </row>
    <row r="408" spans="1:10" ht="14.25" customHeight="1" x14ac:dyDescent="0.25">
      <c r="A408" s="24" t="s">
        <v>260</v>
      </c>
      <c r="B408" s="187" t="s">
        <v>80</v>
      </c>
      <c r="C408" s="188"/>
      <c r="D408" s="188"/>
      <c r="E408" s="188"/>
      <c r="F408" s="188"/>
      <c r="G408" s="188"/>
      <c r="H408" s="188"/>
      <c r="I408" s="188"/>
      <c r="J408" s="189"/>
    </row>
    <row r="409" spans="1:10" ht="16.5" x14ac:dyDescent="0.25">
      <c r="A409" s="26"/>
      <c r="B409" s="35" t="s">
        <v>213</v>
      </c>
      <c r="C409" s="35"/>
      <c r="D409" s="26"/>
      <c r="E409" s="26"/>
      <c r="F409" s="26"/>
      <c r="G409" s="26"/>
      <c r="H409" s="26"/>
      <c r="I409" s="26"/>
      <c r="J409" s="26"/>
    </row>
    <row r="410" spans="1:10" ht="15" customHeight="1" x14ac:dyDescent="0.25">
      <c r="A410" s="26"/>
      <c r="B410" s="25" t="s">
        <v>209</v>
      </c>
      <c r="C410" s="27">
        <v>15</v>
      </c>
      <c r="D410" s="25" t="s">
        <v>161</v>
      </c>
      <c r="E410" s="26"/>
      <c r="F410" s="26"/>
      <c r="G410" s="26"/>
      <c r="H410" s="26"/>
      <c r="I410" s="26"/>
      <c r="J410" s="26"/>
    </row>
    <row r="412" spans="1:10" ht="15" customHeight="1" x14ac:dyDescent="0.25">
      <c r="A412" s="24" t="s">
        <v>261</v>
      </c>
      <c r="B412" s="187" t="s">
        <v>81</v>
      </c>
      <c r="C412" s="188"/>
      <c r="D412" s="188"/>
      <c r="E412" s="188"/>
      <c r="F412" s="188"/>
      <c r="G412" s="188"/>
      <c r="H412" s="188"/>
      <c r="I412" s="188"/>
      <c r="J412" s="189"/>
    </row>
    <row r="413" spans="1:10" ht="16.5" x14ac:dyDescent="0.25">
      <c r="A413" s="26"/>
      <c r="B413" s="35" t="s">
        <v>213</v>
      </c>
      <c r="C413" s="35"/>
      <c r="D413" s="26"/>
      <c r="E413" s="26"/>
      <c r="F413" s="26"/>
      <c r="G413" s="26"/>
      <c r="H413" s="26"/>
      <c r="I413" s="26"/>
      <c r="J413" s="26"/>
    </row>
    <row r="414" spans="1:10" ht="15" customHeight="1" x14ac:dyDescent="0.25">
      <c r="A414" s="26"/>
      <c r="B414" s="25" t="s">
        <v>209</v>
      </c>
      <c r="C414" s="27">
        <v>20</v>
      </c>
      <c r="D414" s="25" t="s">
        <v>161</v>
      </c>
      <c r="E414" s="26"/>
      <c r="F414" s="26"/>
      <c r="G414" s="26"/>
      <c r="H414" s="26"/>
      <c r="I414" s="26"/>
      <c r="J414" s="26"/>
    </row>
    <row r="416" spans="1:10" ht="15" customHeight="1" x14ac:dyDescent="0.25">
      <c r="A416" s="24" t="s">
        <v>262</v>
      </c>
      <c r="B416" s="187" t="s">
        <v>157</v>
      </c>
      <c r="C416" s="188"/>
      <c r="D416" s="188"/>
      <c r="E416" s="188"/>
      <c r="F416" s="188"/>
      <c r="G416" s="188"/>
      <c r="H416" s="188"/>
      <c r="I416" s="188"/>
      <c r="J416" s="189"/>
    </row>
    <row r="417" spans="1:10" ht="16.5" x14ac:dyDescent="0.25">
      <c r="A417" s="26"/>
      <c r="B417" s="35" t="s">
        <v>213</v>
      </c>
      <c r="C417" s="35"/>
      <c r="D417" s="26"/>
      <c r="E417" s="26"/>
      <c r="F417" s="26"/>
      <c r="G417" s="26"/>
      <c r="H417" s="26"/>
      <c r="I417" s="26"/>
      <c r="J417" s="26"/>
    </row>
    <row r="418" spans="1:10" ht="15" customHeight="1" x14ac:dyDescent="0.25">
      <c r="A418" s="26"/>
      <c r="B418" s="25" t="s">
        <v>209</v>
      </c>
      <c r="C418" s="27">
        <v>100</v>
      </c>
      <c r="D418" s="25" t="s">
        <v>161</v>
      </c>
      <c r="E418" s="26"/>
      <c r="F418" s="26"/>
      <c r="G418" s="26"/>
      <c r="H418" s="26"/>
      <c r="I418" s="26"/>
      <c r="J418" s="26"/>
    </row>
    <row r="419" spans="1:10" ht="15" customHeight="1" x14ac:dyDescent="0.25"/>
    <row r="420" spans="1:10" ht="15" customHeight="1" x14ac:dyDescent="0.25">
      <c r="A420" s="24" t="s">
        <v>263</v>
      </c>
      <c r="B420" s="187" t="s">
        <v>82</v>
      </c>
      <c r="C420" s="188"/>
      <c r="D420" s="188"/>
      <c r="E420" s="188"/>
      <c r="F420" s="188"/>
      <c r="G420" s="188"/>
      <c r="H420" s="188"/>
      <c r="I420" s="188"/>
      <c r="J420" s="189"/>
    </row>
    <row r="421" spans="1:10" ht="16.5" customHeight="1" x14ac:dyDescent="0.25">
      <c r="A421" s="26"/>
      <c r="B421" s="35" t="s">
        <v>213</v>
      </c>
      <c r="C421" s="35"/>
      <c r="D421" s="26"/>
      <c r="E421" s="26"/>
      <c r="F421" s="26"/>
      <c r="G421" s="26"/>
      <c r="H421" s="26"/>
      <c r="I421" s="26"/>
      <c r="J421" s="26"/>
    </row>
    <row r="422" spans="1:10" ht="22.5" customHeight="1" x14ac:dyDescent="0.25">
      <c r="A422" s="26"/>
      <c r="B422" s="25" t="s">
        <v>209</v>
      </c>
      <c r="C422" s="27">
        <v>200</v>
      </c>
      <c r="D422" s="25" t="s">
        <v>161</v>
      </c>
      <c r="E422" s="26"/>
      <c r="F422" s="26"/>
      <c r="G422" s="26"/>
      <c r="H422" s="26"/>
      <c r="I422" s="26"/>
      <c r="J422" s="26"/>
    </row>
    <row r="423" spans="1:10" ht="15" customHeight="1" x14ac:dyDescent="0.25"/>
    <row r="424" spans="1:10" ht="15" customHeight="1" x14ac:dyDescent="0.25">
      <c r="A424" s="24" t="s">
        <v>264</v>
      </c>
      <c r="B424" s="187" t="s">
        <v>83</v>
      </c>
      <c r="C424" s="188"/>
      <c r="D424" s="188"/>
      <c r="E424" s="188"/>
      <c r="F424" s="188"/>
      <c r="G424" s="188"/>
      <c r="H424" s="188"/>
      <c r="I424" s="188"/>
      <c r="J424" s="189"/>
    </row>
    <row r="425" spans="1:10" ht="16.5" x14ac:dyDescent="0.25">
      <c r="A425" s="26"/>
      <c r="B425" s="35" t="s">
        <v>213</v>
      </c>
      <c r="C425" s="35"/>
      <c r="D425" s="26"/>
      <c r="E425" s="26"/>
      <c r="F425" s="26"/>
      <c r="G425" s="26"/>
      <c r="H425" s="26"/>
      <c r="I425" s="26"/>
      <c r="J425" s="26"/>
    </row>
    <row r="426" spans="1:10" ht="15" customHeight="1" x14ac:dyDescent="0.25">
      <c r="A426" s="26"/>
      <c r="B426" s="25" t="s">
        <v>209</v>
      </c>
      <c r="C426" s="27">
        <v>150</v>
      </c>
      <c r="D426" s="25" t="s">
        <v>161</v>
      </c>
      <c r="E426" s="26"/>
      <c r="F426" s="26"/>
      <c r="G426" s="26"/>
      <c r="H426" s="26"/>
      <c r="I426" s="26"/>
      <c r="J426" s="26"/>
    </row>
    <row r="427" spans="1:10" ht="15" customHeight="1" x14ac:dyDescent="0.25">
      <c r="A427" s="26"/>
      <c r="B427" s="32"/>
      <c r="C427" s="33"/>
      <c r="D427" s="32"/>
      <c r="E427" s="26"/>
      <c r="F427" s="26"/>
      <c r="G427" s="26"/>
      <c r="H427" s="26"/>
      <c r="I427" s="26"/>
      <c r="J427" s="26"/>
    </row>
    <row r="429" spans="1:10" ht="16.5" x14ac:dyDescent="0.25">
      <c r="A429" s="23">
        <v>11</v>
      </c>
      <c r="B429" s="37" t="s">
        <v>33</v>
      </c>
      <c r="C429" s="38"/>
      <c r="D429" s="38"/>
      <c r="E429" s="38"/>
      <c r="F429" s="38"/>
      <c r="G429" s="38"/>
      <c r="H429" s="38"/>
      <c r="I429" s="38"/>
      <c r="J429" s="39"/>
    </row>
    <row r="430" spans="1:10" ht="16.5" x14ac:dyDescent="0.25">
      <c r="A430" s="24" t="s">
        <v>138</v>
      </c>
      <c r="B430" s="34" t="s">
        <v>34</v>
      </c>
      <c r="C430" s="35"/>
      <c r="D430" s="35"/>
      <c r="E430" s="35"/>
      <c r="F430" s="35"/>
      <c r="G430" s="35"/>
      <c r="H430" s="35"/>
      <c r="I430" s="35"/>
      <c r="J430" s="36"/>
    </row>
    <row r="431" spans="1:10" ht="16.5" customHeight="1" x14ac:dyDescent="0.25">
      <c r="A431" s="24" t="s">
        <v>265</v>
      </c>
      <c r="B431" s="187" t="s">
        <v>87</v>
      </c>
      <c r="C431" s="188"/>
      <c r="D431" s="188"/>
      <c r="E431" s="188"/>
      <c r="F431" s="188"/>
      <c r="G431" s="188"/>
      <c r="H431" s="188"/>
      <c r="I431" s="188"/>
      <c r="J431" s="189"/>
    </row>
    <row r="432" spans="1:10" ht="16.5" x14ac:dyDescent="0.25">
      <c r="A432" s="26"/>
      <c r="B432" s="35" t="s">
        <v>213</v>
      </c>
      <c r="C432" s="35"/>
      <c r="D432" s="26"/>
      <c r="E432" s="26"/>
      <c r="F432" s="26"/>
      <c r="G432" s="26"/>
      <c r="H432" s="26"/>
      <c r="I432" s="26"/>
      <c r="J432" s="26"/>
    </row>
    <row r="433" spans="1:10" x14ac:dyDescent="0.25">
      <c r="A433" s="26"/>
      <c r="B433" s="28" t="s">
        <v>215</v>
      </c>
      <c r="C433" s="25" t="s">
        <v>147</v>
      </c>
      <c r="D433" s="25"/>
      <c r="E433" s="25" t="s">
        <v>212</v>
      </c>
      <c r="F433" s="26"/>
      <c r="G433" s="26"/>
      <c r="H433" s="26"/>
      <c r="I433" s="26"/>
      <c r="J433" s="26"/>
    </row>
    <row r="434" spans="1:10" x14ac:dyDescent="0.25">
      <c r="B434" s="25" t="s">
        <v>209</v>
      </c>
      <c r="C434" s="29">
        <v>24.032</v>
      </c>
      <c r="D434" s="25" t="s">
        <v>210</v>
      </c>
      <c r="E434" s="25">
        <v>6</v>
      </c>
    </row>
    <row r="435" spans="1:10" x14ac:dyDescent="0.25">
      <c r="B435" s="25" t="s">
        <v>209</v>
      </c>
      <c r="C435" s="29">
        <v>21.44</v>
      </c>
      <c r="D435" s="25" t="s">
        <v>210</v>
      </c>
      <c r="E435" s="25">
        <v>2</v>
      </c>
    </row>
    <row r="436" spans="1:10" x14ac:dyDescent="0.25">
      <c r="B436" s="25" t="s">
        <v>209</v>
      </c>
      <c r="C436" s="29">
        <v>43.808</v>
      </c>
      <c r="D436" s="25" t="s">
        <v>210</v>
      </c>
      <c r="E436" s="25">
        <v>1</v>
      </c>
    </row>
    <row r="437" spans="1:10" x14ac:dyDescent="0.25">
      <c r="B437" s="25" t="s">
        <v>209</v>
      </c>
      <c r="C437" s="29">
        <v>20</v>
      </c>
      <c r="D437" s="25" t="s">
        <v>210</v>
      </c>
      <c r="E437" s="25">
        <v>1</v>
      </c>
    </row>
    <row r="438" spans="1:10" ht="15" customHeight="1" x14ac:dyDescent="0.25">
      <c r="B438" s="25" t="s">
        <v>209</v>
      </c>
      <c r="C438" s="29">
        <v>7.4</v>
      </c>
      <c r="D438" s="25" t="s">
        <v>210</v>
      </c>
      <c r="E438" s="25">
        <v>4</v>
      </c>
    </row>
    <row r="439" spans="1:10" ht="15" customHeight="1" x14ac:dyDescent="0.25">
      <c r="A439" s="26"/>
      <c r="B439" s="25" t="s">
        <v>209</v>
      </c>
      <c r="C439" s="29">
        <v>18.32</v>
      </c>
      <c r="D439" s="25" t="s">
        <v>210</v>
      </c>
      <c r="E439" s="25">
        <v>4</v>
      </c>
    </row>
    <row r="440" spans="1:10" x14ac:dyDescent="0.25">
      <c r="B440" s="25" t="s">
        <v>209</v>
      </c>
      <c r="C440" s="29">
        <v>21.52</v>
      </c>
      <c r="D440" s="25" t="s">
        <v>210</v>
      </c>
      <c r="E440" s="25">
        <v>6</v>
      </c>
    </row>
    <row r="441" spans="1:10" x14ac:dyDescent="0.25">
      <c r="B441" s="25" t="s">
        <v>209</v>
      </c>
      <c r="C441" s="29">
        <v>53.247999999999998</v>
      </c>
      <c r="D441" s="25" t="s">
        <v>210</v>
      </c>
      <c r="E441" s="25">
        <v>3</v>
      </c>
    </row>
    <row r="442" spans="1:10" x14ac:dyDescent="0.25">
      <c r="B442" s="25" t="s">
        <v>209</v>
      </c>
      <c r="C442" s="29">
        <v>18.079999999999998</v>
      </c>
      <c r="D442" s="25" t="s">
        <v>210</v>
      </c>
      <c r="E442" s="25">
        <v>10</v>
      </c>
    </row>
    <row r="444" spans="1:10" x14ac:dyDescent="0.25">
      <c r="B444" s="25" t="s">
        <v>209</v>
      </c>
      <c r="C444" s="27">
        <f>C434*E434+C440*E440+C441*E441+C442*E442+C435*E435+C436*E436+C437*E437+C438*E438+C439*E439</f>
        <v>823.42399999999998</v>
      </c>
      <c r="D444" s="25" t="s">
        <v>147</v>
      </c>
    </row>
    <row r="446" spans="1:10" ht="16.5" customHeight="1" x14ac:dyDescent="0.25">
      <c r="A446" s="24" t="s">
        <v>266</v>
      </c>
      <c r="B446" s="187" t="s">
        <v>88</v>
      </c>
      <c r="C446" s="188"/>
      <c r="D446" s="188"/>
      <c r="E446" s="188"/>
      <c r="F446" s="188"/>
      <c r="G446" s="188"/>
      <c r="H446" s="188"/>
      <c r="I446" s="188"/>
      <c r="J446" s="189"/>
    </row>
    <row r="447" spans="1:10" ht="16.5" x14ac:dyDescent="0.25">
      <c r="A447" s="26"/>
      <c r="B447" s="35" t="s">
        <v>213</v>
      </c>
      <c r="C447" s="35"/>
      <c r="D447" s="26"/>
      <c r="E447" s="26"/>
      <c r="F447" s="26"/>
      <c r="G447" s="26"/>
      <c r="H447" s="26"/>
      <c r="I447" s="26"/>
      <c r="J447" s="26"/>
    </row>
    <row r="448" spans="1:10" x14ac:dyDescent="0.25">
      <c r="A448" s="26"/>
      <c r="B448" s="28" t="s">
        <v>215</v>
      </c>
      <c r="C448" s="25" t="s">
        <v>147</v>
      </c>
      <c r="D448" s="25"/>
      <c r="E448" s="25" t="s">
        <v>212</v>
      </c>
      <c r="F448" s="26"/>
      <c r="G448" s="26"/>
      <c r="H448" s="26"/>
      <c r="I448" s="26"/>
      <c r="J448" s="26"/>
    </row>
    <row r="449" spans="1:10" x14ac:dyDescent="0.25">
      <c r="B449" s="25" t="s">
        <v>209</v>
      </c>
      <c r="C449" s="29">
        <v>24.032</v>
      </c>
      <c r="D449" s="25" t="s">
        <v>210</v>
      </c>
      <c r="E449" s="25">
        <v>6</v>
      </c>
    </row>
    <row r="450" spans="1:10" x14ac:dyDescent="0.25">
      <c r="B450" s="25" t="s">
        <v>209</v>
      </c>
      <c r="C450" s="29">
        <v>21.44</v>
      </c>
      <c r="D450" s="25" t="s">
        <v>210</v>
      </c>
      <c r="E450" s="25">
        <v>2</v>
      </c>
    </row>
    <row r="451" spans="1:10" x14ac:dyDescent="0.25">
      <c r="B451" s="25" t="s">
        <v>209</v>
      </c>
      <c r="C451" s="29">
        <v>43.808</v>
      </c>
      <c r="D451" s="25" t="s">
        <v>210</v>
      </c>
      <c r="E451" s="25">
        <v>1</v>
      </c>
    </row>
    <row r="452" spans="1:10" x14ac:dyDescent="0.25">
      <c r="B452" s="25" t="s">
        <v>209</v>
      </c>
      <c r="C452" s="29">
        <v>20</v>
      </c>
      <c r="D452" s="25" t="s">
        <v>210</v>
      </c>
      <c r="E452" s="25">
        <v>1</v>
      </c>
    </row>
    <row r="453" spans="1:10" ht="15" customHeight="1" x14ac:dyDescent="0.25">
      <c r="B453" s="25" t="s">
        <v>209</v>
      </c>
      <c r="C453" s="29">
        <v>7.4</v>
      </c>
      <c r="D453" s="25" t="s">
        <v>210</v>
      </c>
      <c r="E453" s="25">
        <v>4</v>
      </c>
    </row>
    <row r="454" spans="1:10" ht="15" customHeight="1" x14ac:dyDescent="0.25">
      <c r="A454" s="26"/>
      <c r="B454" s="25" t="s">
        <v>209</v>
      </c>
      <c r="C454" s="29">
        <v>18.32</v>
      </c>
      <c r="D454" s="25" t="s">
        <v>210</v>
      </c>
      <c r="E454" s="25">
        <v>4</v>
      </c>
    </row>
    <row r="455" spans="1:10" x14ac:dyDescent="0.25">
      <c r="B455" s="25" t="s">
        <v>209</v>
      </c>
      <c r="C455" s="29">
        <v>21.52</v>
      </c>
      <c r="D455" s="25" t="s">
        <v>210</v>
      </c>
      <c r="E455" s="25">
        <v>6</v>
      </c>
    </row>
    <row r="456" spans="1:10" x14ac:dyDescent="0.25">
      <c r="B456" s="25" t="s">
        <v>209</v>
      </c>
      <c r="C456" s="29">
        <v>53.247999999999998</v>
      </c>
      <c r="D456" s="25" t="s">
        <v>210</v>
      </c>
      <c r="E456" s="25">
        <v>3</v>
      </c>
    </row>
    <row r="457" spans="1:10" x14ac:dyDescent="0.25">
      <c r="B457" s="25" t="s">
        <v>209</v>
      </c>
      <c r="C457" s="29">
        <v>18.079999999999998</v>
      </c>
      <c r="D457" s="25" t="s">
        <v>210</v>
      </c>
      <c r="E457" s="25">
        <v>10</v>
      </c>
    </row>
    <row r="459" spans="1:10" x14ac:dyDescent="0.25">
      <c r="B459" s="25" t="s">
        <v>209</v>
      </c>
      <c r="C459" s="27">
        <f>C449*E449+C455*E455+C456*E456+C457*E457+C450*E450+C451*E451+C452*E452+C453*E453+C454*E454</f>
        <v>823.42399999999998</v>
      </c>
      <c r="D459" s="25" t="s">
        <v>147</v>
      </c>
    </row>
    <row r="461" spans="1:10" ht="17.25" customHeight="1" x14ac:dyDescent="0.25">
      <c r="A461" s="24" t="s">
        <v>267</v>
      </c>
      <c r="B461" s="187" t="s">
        <v>89</v>
      </c>
      <c r="C461" s="188"/>
      <c r="D461" s="188"/>
      <c r="E461" s="188"/>
      <c r="F461" s="188"/>
      <c r="G461" s="188"/>
      <c r="H461" s="188"/>
      <c r="I461" s="188"/>
      <c r="J461" s="189"/>
    </row>
    <row r="462" spans="1:10" ht="15" customHeight="1" x14ac:dyDescent="0.25">
      <c r="A462" s="26"/>
      <c r="B462" s="35" t="s">
        <v>213</v>
      </c>
      <c r="C462" s="35"/>
      <c r="D462" s="26"/>
      <c r="E462" s="26"/>
      <c r="F462" s="26"/>
      <c r="G462" s="26"/>
      <c r="H462" s="26"/>
      <c r="I462" s="26"/>
      <c r="J462" s="26"/>
    </row>
    <row r="463" spans="1:10" ht="15" customHeight="1" x14ac:dyDescent="0.25">
      <c r="A463" s="26"/>
      <c r="B463" s="28" t="s">
        <v>215</v>
      </c>
      <c r="C463" s="25" t="s">
        <v>147</v>
      </c>
      <c r="D463" s="25"/>
      <c r="E463" s="25" t="s">
        <v>212</v>
      </c>
      <c r="F463" s="26"/>
      <c r="G463" s="26"/>
      <c r="H463" s="26"/>
      <c r="I463" s="26"/>
      <c r="J463" s="26"/>
    </row>
    <row r="464" spans="1:10" ht="15" customHeight="1" x14ac:dyDescent="0.25">
      <c r="B464" s="25" t="s">
        <v>209</v>
      </c>
      <c r="C464" s="29">
        <v>9.1999999999999993</v>
      </c>
      <c r="D464" s="25" t="s">
        <v>210</v>
      </c>
      <c r="E464" s="25">
        <v>14</v>
      </c>
    </row>
    <row r="465" spans="1:10" x14ac:dyDescent="0.25">
      <c r="B465" s="25" t="s">
        <v>209</v>
      </c>
      <c r="C465" s="29">
        <v>5.6</v>
      </c>
      <c r="D465" s="25" t="s">
        <v>210</v>
      </c>
      <c r="E465" s="25">
        <v>2</v>
      </c>
    </row>
    <row r="466" spans="1:10" x14ac:dyDescent="0.25">
      <c r="B466" s="25" t="s">
        <v>209</v>
      </c>
      <c r="C466" s="29">
        <v>2.4</v>
      </c>
      <c r="D466" s="25" t="s">
        <v>210</v>
      </c>
      <c r="E466" s="25">
        <v>12</v>
      </c>
    </row>
    <row r="468" spans="1:10" x14ac:dyDescent="0.25">
      <c r="B468" s="25" t="s">
        <v>209</v>
      </c>
      <c r="C468" s="27">
        <f>C464*E464+C465*E465+C466*E466</f>
        <v>168.79999999999995</v>
      </c>
      <c r="D468" s="25" t="s">
        <v>147</v>
      </c>
    </row>
    <row r="470" spans="1:10" ht="16.5" x14ac:dyDescent="0.25">
      <c r="A470" s="24" t="s">
        <v>152</v>
      </c>
      <c r="B470" s="34" t="s">
        <v>36</v>
      </c>
      <c r="C470" s="35"/>
      <c r="D470" s="35"/>
      <c r="E470" s="35"/>
      <c r="F470" s="35"/>
      <c r="G470" s="35"/>
      <c r="H470" s="35"/>
      <c r="I470" s="35"/>
      <c r="J470" s="36"/>
    </row>
    <row r="471" spans="1:10" ht="16.5" customHeight="1" x14ac:dyDescent="0.25">
      <c r="A471" s="24" t="s">
        <v>268</v>
      </c>
      <c r="B471" s="187" t="s">
        <v>140</v>
      </c>
      <c r="C471" s="188"/>
      <c r="D471" s="188"/>
      <c r="E471" s="188"/>
      <c r="F471" s="188"/>
      <c r="G471" s="188"/>
      <c r="H471" s="188"/>
      <c r="I471" s="188"/>
      <c r="J471" s="189"/>
    </row>
    <row r="472" spans="1:10" ht="15" customHeight="1" x14ac:dyDescent="0.25">
      <c r="A472" s="26"/>
      <c r="B472" s="35" t="s">
        <v>213</v>
      </c>
      <c r="C472" s="35"/>
      <c r="D472" s="26"/>
      <c r="E472" s="26"/>
      <c r="F472" s="26"/>
      <c r="G472" s="26"/>
      <c r="H472" s="26"/>
      <c r="I472" s="26"/>
      <c r="J472" s="26"/>
    </row>
    <row r="473" spans="1:10" ht="15" customHeight="1" x14ac:dyDescent="0.25">
      <c r="A473" s="26"/>
      <c r="B473" s="28" t="s">
        <v>215</v>
      </c>
      <c r="C473" s="25" t="s">
        <v>147</v>
      </c>
      <c r="D473" s="25"/>
      <c r="E473" s="25" t="s">
        <v>212</v>
      </c>
      <c r="F473" s="26"/>
      <c r="G473" s="26"/>
      <c r="H473" s="26"/>
      <c r="I473" s="26"/>
      <c r="J473" s="26"/>
    </row>
    <row r="474" spans="1:10" x14ac:dyDescent="0.25">
      <c r="B474" s="25" t="s">
        <v>209</v>
      </c>
      <c r="C474" s="29">
        <v>60.5</v>
      </c>
      <c r="D474" s="25" t="s">
        <v>210</v>
      </c>
      <c r="E474" s="25">
        <v>1</v>
      </c>
    </row>
    <row r="475" spans="1:10" x14ac:dyDescent="0.25">
      <c r="B475" s="25" t="s">
        <v>209</v>
      </c>
      <c r="C475" s="29">
        <v>20.399999999999999</v>
      </c>
      <c r="D475" s="25" t="s">
        <v>210</v>
      </c>
      <c r="E475" s="25">
        <v>1</v>
      </c>
    </row>
    <row r="476" spans="1:10" ht="15" customHeight="1" x14ac:dyDescent="0.25">
      <c r="B476" s="25" t="s">
        <v>209</v>
      </c>
      <c r="C476" s="29">
        <v>37.5</v>
      </c>
      <c r="D476" s="25" t="s">
        <v>210</v>
      </c>
      <c r="E476" s="25">
        <v>2</v>
      </c>
    </row>
    <row r="477" spans="1:10" ht="15" customHeight="1" x14ac:dyDescent="0.25">
      <c r="B477" s="25" t="s">
        <v>209</v>
      </c>
      <c r="C477" s="29">
        <v>30.25</v>
      </c>
      <c r="D477" s="25" t="s">
        <v>210</v>
      </c>
      <c r="E477" s="25">
        <v>1</v>
      </c>
    </row>
    <row r="478" spans="1:10" x14ac:dyDescent="0.25">
      <c r="B478" s="25" t="s">
        <v>209</v>
      </c>
      <c r="C478" s="29">
        <v>28.032</v>
      </c>
      <c r="D478" s="25" t="s">
        <v>210</v>
      </c>
      <c r="E478" s="25">
        <v>1</v>
      </c>
    </row>
    <row r="479" spans="1:10" x14ac:dyDescent="0.25">
      <c r="B479" s="25" t="s">
        <v>209</v>
      </c>
      <c r="C479" s="29">
        <v>28.7</v>
      </c>
      <c r="D479" s="25" t="s">
        <v>210</v>
      </c>
      <c r="E479" s="25">
        <v>1</v>
      </c>
    </row>
    <row r="480" spans="1:10" x14ac:dyDescent="0.25">
      <c r="B480" s="25" t="s">
        <v>209</v>
      </c>
      <c r="C480" s="29">
        <v>54.5</v>
      </c>
      <c r="D480" s="25" t="s">
        <v>210</v>
      </c>
      <c r="E480" s="25">
        <v>1</v>
      </c>
    </row>
    <row r="482" spans="1:10" x14ac:dyDescent="0.25">
      <c r="B482" s="25" t="s">
        <v>209</v>
      </c>
      <c r="C482" s="27">
        <f>C474*E474+C475*E475+C476*E476+C477*E477+C478*E478+C479*E479+C480*E480</f>
        <v>297.38200000000001</v>
      </c>
      <c r="D482" s="25" t="s">
        <v>147</v>
      </c>
    </row>
    <row r="484" spans="1:10" ht="18" customHeight="1" x14ac:dyDescent="0.25">
      <c r="A484" s="24" t="s">
        <v>269</v>
      </c>
      <c r="B484" s="187" t="s">
        <v>88</v>
      </c>
      <c r="C484" s="188"/>
      <c r="D484" s="188"/>
      <c r="E484" s="188"/>
      <c r="F484" s="188"/>
      <c r="G484" s="188"/>
      <c r="H484" s="188"/>
      <c r="I484" s="188"/>
      <c r="J484" s="189"/>
    </row>
    <row r="485" spans="1:10" ht="16.5" x14ac:dyDescent="0.25">
      <c r="A485" s="26"/>
      <c r="B485" s="35" t="s">
        <v>213</v>
      </c>
      <c r="C485" s="35"/>
      <c r="D485" s="26"/>
      <c r="E485" s="26"/>
      <c r="F485" s="26"/>
      <c r="G485" s="26"/>
      <c r="H485" s="26"/>
      <c r="I485" s="26"/>
      <c r="J485" s="26"/>
    </row>
    <row r="486" spans="1:10" x14ac:dyDescent="0.25">
      <c r="A486" s="26"/>
      <c r="B486" s="28" t="s">
        <v>215</v>
      </c>
      <c r="C486" s="25" t="s">
        <v>147</v>
      </c>
      <c r="D486" s="25"/>
      <c r="E486" s="25" t="s">
        <v>212</v>
      </c>
      <c r="F486" s="26"/>
      <c r="G486" s="26"/>
      <c r="H486" s="26"/>
      <c r="I486" s="26"/>
      <c r="J486" s="26"/>
    </row>
    <row r="487" spans="1:10" x14ac:dyDescent="0.25">
      <c r="B487" s="25" t="s">
        <v>209</v>
      </c>
      <c r="C487" s="29">
        <v>60.5</v>
      </c>
      <c r="D487" s="25" t="s">
        <v>210</v>
      </c>
      <c r="E487" s="25">
        <v>1</v>
      </c>
    </row>
    <row r="488" spans="1:10" x14ac:dyDescent="0.25">
      <c r="B488" s="25" t="s">
        <v>209</v>
      </c>
      <c r="C488" s="29">
        <v>20.399999999999999</v>
      </c>
      <c r="D488" s="25" t="s">
        <v>210</v>
      </c>
      <c r="E488" s="25">
        <v>1</v>
      </c>
    </row>
    <row r="489" spans="1:10" ht="15" customHeight="1" x14ac:dyDescent="0.25">
      <c r="B489" s="25" t="s">
        <v>209</v>
      </c>
      <c r="C489" s="29">
        <v>37.5</v>
      </c>
      <c r="D489" s="25" t="s">
        <v>210</v>
      </c>
      <c r="E489" s="25">
        <v>2</v>
      </c>
    </row>
    <row r="490" spans="1:10" ht="15" customHeight="1" x14ac:dyDescent="0.25">
      <c r="B490" s="25" t="s">
        <v>209</v>
      </c>
      <c r="C490" s="29">
        <v>30.25</v>
      </c>
      <c r="D490" s="25" t="s">
        <v>210</v>
      </c>
      <c r="E490" s="25">
        <v>1</v>
      </c>
    </row>
    <row r="491" spans="1:10" x14ac:dyDescent="0.25">
      <c r="B491" s="25" t="s">
        <v>209</v>
      </c>
      <c r="C491" s="29">
        <v>28.032</v>
      </c>
      <c r="D491" s="25" t="s">
        <v>210</v>
      </c>
      <c r="E491" s="25">
        <v>1</v>
      </c>
    </row>
    <row r="492" spans="1:10" x14ac:dyDescent="0.25">
      <c r="B492" s="25" t="s">
        <v>209</v>
      </c>
      <c r="C492" s="29">
        <v>28.7</v>
      </c>
      <c r="D492" s="25" t="s">
        <v>210</v>
      </c>
      <c r="E492" s="25">
        <v>1</v>
      </c>
    </row>
    <row r="493" spans="1:10" x14ac:dyDescent="0.25">
      <c r="B493" s="25" t="s">
        <v>209</v>
      </c>
      <c r="C493" s="29">
        <v>54.5</v>
      </c>
      <c r="D493" s="25" t="s">
        <v>210</v>
      </c>
      <c r="E493" s="25">
        <v>1</v>
      </c>
    </row>
    <row r="495" spans="1:10" x14ac:dyDescent="0.25">
      <c r="B495" s="25" t="s">
        <v>209</v>
      </c>
      <c r="C495" s="27">
        <f>C487*E487+C488*E488+C489*E489+C490*E490+C491*E491+C492*E492+C493*E493</f>
        <v>297.38200000000001</v>
      </c>
      <c r="D495" s="25" t="s">
        <v>147</v>
      </c>
    </row>
    <row r="497" spans="1:10" ht="18.75" customHeight="1" x14ac:dyDescent="0.25">
      <c r="A497" s="24" t="s">
        <v>270</v>
      </c>
      <c r="B497" s="187" t="s">
        <v>136</v>
      </c>
      <c r="C497" s="188"/>
      <c r="D497" s="188"/>
      <c r="E497" s="188"/>
      <c r="F497" s="188"/>
      <c r="G497" s="188"/>
      <c r="H497" s="188"/>
      <c r="I497" s="188"/>
      <c r="J497" s="189"/>
    </row>
    <row r="498" spans="1:10" ht="16.5" x14ac:dyDescent="0.25">
      <c r="A498" s="26"/>
      <c r="B498" s="35" t="s">
        <v>213</v>
      </c>
      <c r="C498" s="35"/>
      <c r="D498" s="26"/>
      <c r="E498" s="26"/>
      <c r="F498" s="26"/>
      <c r="G498" s="26"/>
      <c r="H498" s="26"/>
      <c r="I498" s="26"/>
      <c r="J498" s="26"/>
    </row>
    <row r="499" spans="1:10" x14ac:dyDescent="0.25">
      <c r="A499" s="26"/>
      <c r="B499" s="28" t="s">
        <v>215</v>
      </c>
      <c r="C499" s="25" t="s">
        <v>147</v>
      </c>
      <c r="D499" s="25"/>
      <c r="E499" s="25" t="s">
        <v>212</v>
      </c>
      <c r="F499" s="26"/>
      <c r="G499" s="26"/>
      <c r="H499" s="26"/>
      <c r="I499" s="26"/>
      <c r="J499" s="26"/>
    </row>
    <row r="500" spans="1:10" x14ac:dyDescent="0.25">
      <c r="B500" s="25" t="s">
        <v>209</v>
      </c>
      <c r="C500" s="29">
        <v>12.52</v>
      </c>
      <c r="D500" s="25" t="s">
        <v>210</v>
      </c>
      <c r="E500" s="25">
        <v>3</v>
      </c>
    </row>
    <row r="501" spans="1:10" x14ac:dyDescent="0.25">
      <c r="B501" s="25" t="s">
        <v>209</v>
      </c>
      <c r="C501" s="29">
        <v>4.8</v>
      </c>
      <c r="D501" s="25" t="s">
        <v>210</v>
      </c>
      <c r="E501" s="25">
        <v>4</v>
      </c>
    </row>
    <row r="502" spans="1:10" ht="15" customHeight="1" x14ac:dyDescent="0.25">
      <c r="B502" s="25" t="s">
        <v>209</v>
      </c>
      <c r="C502" s="29">
        <v>8.8000000000000007</v>
      </c>
      <c r="D502" s="25" t="s">
        <v>210</v>
      </c>
      <c r="E502" s="25">
        <v>1</v>
      </c>
    </row>
    <row r="503" spans="1:10" ht="15" customHeight="1" x14ac:dyDescent="0.25">
      <c r="B503" s="25" t="s">
        <v>209</v>
      </c>
      <c r="C503" s="29">
        <v>8.6999999999999993</v>
      </c>
      <c r="D503" s="25" t="s">
        <v>210</v>
      </c>
      <c r="E503" s="25">
        <v>2</v>
      </c>
    </row>
    <row r="504" spans="1:10" x14ac:dyDescent="0.25">
      <c r="B504" s="25" t="s">
        <v>209</v>
      </c>
      <c r="C504" s="29">
        <v>4.8</v>
      </c>
      <c r="D504" s="25" t="s">
        <v>210</v>
      </c>
      <c r="E504" s="25">
        <v>6</v>
      </c>
    </row>
    <row r="505" spans="1:10" x14ac:dyDescent="0.25">
      <c r="B505" s="25" t="s">
        <v>209</v>
      </c>
      <c r="C505" s="29">
        <v>2.9</v>
      </c>
      <c r="D505" s="25" t="s">
        <v>210</v>
      </c>
      <c r="E505" s="25">
        <v>6</v>
      </c>
    </row>
    <row r="507" spans="1:10" x14ac:dyDescent="0.25">
      <c r="B507" s="25" t="s">
        <v>209</v>
      </c>
      <c r="C507" s="27">
        <f>C500*E500+C501*E501+C502*E502+C503*E503+C504*E504+C505*E505</f>
        <v>129.16</v>
      </c>
      <c r="D507" s="25" t="s">
        <v>147</v>
      </c>
    </row>
    <row r="509" spans="1:10" x14ac:dyDescent="0.25">
      <c r="A509" s="24" t="s">
        <v>153</v>
      </c>
      <c r="B509" s="34" t="s">
        <v>35</v>
      </c>
      <c r="C509" s="35"/>
      <c r="D509" s="35"/>
      <c r="E509" s="35"/>
      <c r="F509" s="35"/>
      <c r="G509" s="35"/>
      <c r="H509" s="35"/>
      <c r="I509" s="35"/>
      <c r="J509" s="36"/>
    </row>
    <row r="510" spans="1:10" ht="19.5" customHeight="1" x14ac:dyDescent="0.25">
      <c r="A510" s="24" t="s">
        <v>271</v>
      </c>
      <c r="B510" s="187" t="s">
        <v>90</v>
      </c>
      <c r="C510" s="188"/>
      <c r="D510" s="188"/>
      <c r="E510" s="188"/>
      <c r="F510" s="188"/>
      <c r="G510" s="188"/>
      <c r="H510" s="188"/>
      <c r="I510" s="188"/>
      <c r="J510" s="189"/>
    </row>
    <row r="511" spans="1:10" ht="16.5" x14ac:dyDescent="0.25">
      <c r="A511" s="26"/>
      <c r="B511" s="35" t="s">
        <v>213</v>
      </c>
      <c r="C511" s="35"/>
      <c r="D511" s="26"/>
      <c r="E511" s="26"/>
      <c r="F511" s="26"/>
      <c r="G511" s="26"/>
      <c r="H511" s="26"/>
      <c r="I511" s="26"/>
      <c r="J511" s="26"/>
    </row>
    <row r="512" spans="1:10" x14ac:dyDescent="0.25">
      <c r="A512" s="26"/>
      <c r="B512" s="28" t="s">
        <v>215</v>
      </c>
      <c r="C512" s="25" t="s">
        <v>147</v>
      </c>
      <c r="D512" s="25"/>
      <c r="E512" s="25" t="s">
        <v>212</v>
      </c>
      <c r="F512" s="26"/>
      <c r="G512" s="26"/>
      <c r="H512" s="26"/>
      <c r="I512" s="26"/>
      <c r="J512" s="26"/>
    </row>
    <row r="513" spans="1:10" x14ac:dyDescent="0.25">
      <c r="B513" s="25" t="s">
        <v>209</v>
      </c>
      <c r="C513" s="29">
        <v>38.186</v>
      </c>
      <c r="D513" s="25" t="s">
        <v>210</v>
      </c>
      <c r="E513" s="25">
        <v>3</v>
      </c>
    </row>
    <row r="514" spans="1:10" x14ac:dyDescent="0.25">
      <c r="B514" s="25" t="s">
        <v>209</v>
      </c>
      <c r="C514" s="29">
        <v>33.72</v>
      </c>
      <c r="D514" s="25" t="s">
        <v>210</v>
      </c>
      <c r="E514" s="25">
        <v>1</v>
      </c>
    </row>
    <row r="515" spans="1:10" x14ac:dyDescent="0.25">
      <c r="B515" s="25" t="s">
        <v>209</v>
      </c>
      <c r="C515" s="29">
        <v>16.794</v>
      </c>
      <c r="D515" s="25" t="s">
        <v>210</v>
      </c>
      <c r="E515" s="25">
        <v>1</v>
      </c>
    </row>
    <row r="516" spans="1:10" x14ac:dyDescent="0.25">
      <c r="B516" s="25" t="s">
        <v>209</v>
      </c>
      <c r="C516" s="29">
        <v>7.5</v>
      </c>
      <c r="D516" s="25" t="s">
        <v>210</v>
      </c>
      <c r="E516" s="25">
        <v>1</v>
      </c>
    </row>
    <row r="517" spans="1:10" ht="15" customHeight="1" x14ac:dyDescent="0.25">
      <c r="B517" s="25" t="s">
        <v>209</v>
      </c>
      <c r="C517" s="29">
        <v>22.612500000000001</v>
      </c>
      <c r="D517" s="25" t="s">
        <v>210</v>
      </c>
      <c r="E517" s="25">
        <v>1</v>
      </c>
    </row>
    <row r="518" spans="1:10" ht="15" customHeight="1" x14ac:dyDescent="0.25">
      <c r="B518" s="25" t="s">
        <v>209</v>
      </c>
      <c r="C518" s="29">
        <v>20.8</v>
      </c>
      <c r="D518" s="25" t="s">
        <v>210</v>
      </c>
      <c r="E518" s="25">
        <v>2</v>
      </c>
    </row>
    <row r="519" spans="1:10" x14ac:dyDescent="0.25">
      <c r="B519" s="25" t="s">
        <v>209</v>
      </c>
      <c r="C519" s="29">
        <v>8.4</v>
      </c>
      <c r="D519" s="25" t="s">
        <v>210</v>
      </c>
      <c r="E519" s="25">
        <v>2</v>
      </c>
    </row>
    <row r="520" spans="1:10" x14ac:dyDescent="0.25">
      <c r="B520" s="25" t="s">
        <v>209</v>
      </c>
      <c r="C520" s="29">
        <v>18.899999999999999</v>
      </c>
      <c r="D520" s="25" t="s">
        <v>210</v>
      </c>
      <c r="E520" s="25">
        <v>1</v>
      </c>
    </row>
    <row r="521" spans="1:10" x14ac:dyDescent="0.25">
      <c r="B521" s="25" t="s">
        <v>209</v>
      </c>
      <c r="C521" s="29">
        <v>11</v>
      </c>
      <c r="D521" s="25" t="s">
        <v>210</v>
      </c>
      <c r="E521" s="25">
        <v>3</v>
      </c>
    </row>
    <row r="523" spans="1:10" x14ac:dyDescent="0.25">
      <c r="B523" s="25" t="s">
        <v>209</v>
      </c>
      <c r="C523" s="27">
        <f>C513*E513+C514*E514+C515*E515+C516*E516+C517*E517+C518*E518+C519*E519+C520*E520+C521*E521</f>
        <v>305.48450000000003</v>
      </c>
      <c r="D523" s="25" t="s">
        <v>147</v>
      </c>
    </row>
    <row r="525" spans="1:10" ht="16.5" customHeight="1" x14ac:dyDescent="0.25">
      <c r="A525" s="24" t="s">
        <v>272</v>
      </c>
      <c r="B525" s="187" t="s">
        <v>91</v>
      </c>
      <c r="C525" s="188"/>
      <c r="D525" s="188"/>
      <c r="E525" s="188"/>
      <c r="F525" s="188"/>
      <c r="G525" s="188"/>
      <c r="H525" s="188"/>
      <c r="I525" s="188"/>
      <c r="J525" s="189"/>
    </row>
    <row r="526" spans="1:10" ht="16.5" x14ac:dyDescent="0.25">
      <c r="A526" s="26"/>
      <c r="B526" s="35" t="s">
        <v>213</v>
      </c>
      <c r="C526" s="35"/>
      <c r="D526" s="26"/>
      <c r="E526" s="26"/>
      <c r="F526" s="26"/>
      <c r="G526" s="26"/>
      <c r="H526" s="26"/>
      <c r="I526" s="26"/>
      <c r="J526" s="26"/>
    </row>
    <row r="527" spans="1:10" x14ac:dyDescent="0.25">
      <c r="A527" s="26"/>
      <c r="B527" s="28" t="s">
        <v>215</v>
      </c>
      <c r="C527" s="25" t="s">
        <v>147</v>
      </c>
      <c r="D527" s="25"/>
      <c r="E527" s="25" t="s">
        <v>212</v>
      </c>
      <c r="F527" s="26"/>
      <c r="G527" s="26"/>
      <c r="H527" s="26"/>
      <c r="I527" s="26"/>
      <c r="J527" s="26"/>
    </row>
    <row r="528" spans="1:10" x14ac:dyDescent="0.25">
      <c r="B528" s="25" t="s">
        <v>209</v>
      </c>
      <c r="C528" s="29">
        <v>38.186</v>
      </c>
      <c r="D528" s="25" t="s">
        <v>210</v>
      </c>
      <c r="E528" s="25">
        <v>3</v>
      </c>
    </row>
    <row r="529" spans="1:10" x14ac:dyDescent="0.25">
      <c r="B529" s="25" t="s">
        <v>209</v>
      </c>
      <c r="C529" s="29">
        <v>33.72</v>
      </c>
      <c r="D529" s="25" t="s">
        <v>210</v>
      </c>
      <c r="E529" s="25">
        <v>1</v>
      </c>
    </row>
    <row r="530" spans="1:10" x14ac:dyDescent="0.25">
      <c r="B530" s="25" t="s">
        <v>209</v>
      </c>
      <c r="C530" s="29">
        <v>16.794</v>
      </c>
      <c r="D530" s="25" t="s">
        <v>210</v>
      </c>
      <c r="E530" s="25">
        <v>1</v>
      </c>
    </row>
    <row r="531" spans="1:10" x14ac:dyDescent="0.25">
      <c r="B531" s="25" t="s">
        <v>209</v>
      </c>
      <c r="C531" s="29">
        <v>7.5</v>
      </c>
      <c r="D531" s="25" t="s">
        <v>210</v>
      </c>
      <c r="E531" s="25">
        <v>1</v>
      </c>
    </row>
    <row r="532" spans="1:10" ht="15" customHeight="1" x14ac:dyDescent="0.25">
      <c r="B532" s="25" t="s">
        <v>209</v>
      </c>
      <c r="C532" s="29">
        <v>22.612500000000001</v>
      </c>
      <c r="D532" s="25" t="s">
        <v>210</v>
      </c>
      <c r="E532" s="25">
        <v>1</v>
      </c>
    </row>
    <row r="533" spans="1:10" ht="15" customHeight="1" x14ac:dyDescent="0.25">
      <c r="B533" s="25" t="s">
        <v>209</v>
      </c>
      <c r="C533" s="29">
        <v>20.8</v>
      </c>
      <c r="D533" s="25" t="s">
        <v>210</v>
      </c>
      <c r="E533" s="25">
        <v>2</v>
      </c>
    </row>
    <row r="534" spans="1:10" x14ac:dyDescent="0.25">
      <c r="B534" s="25" t="s">
        <v>209</v>
      </c>
      <c r="C534" s="29">
        <v>8.4</v>
      </c>
      <c r="D534" s="25" t="s">
        <v>210</v>
      </c>
      <c r="E534" s="25">
        <v>2</v>
      </c>
    </row>
    <row r="535" spans="1:10" x14ac:dyDescent="0.25">
      <c r="B535" s="25" t="s">
        <v>209</v>
      </c>
      <c r="C535" s="29">
        <v>18.899999999999999</v>
      </c>
      <c r="D535" s="25" t="s">
        <v>210</v>
      </c>
      <c r="E535" s="25">
        <v>1</v>
      </c>
    </row>
    <row r="536" spans="1:10" x14ac:dyDescent="0.25">
      <c r="B536" s="25" t="s">
        <v>209</v>
      </c>
      <c r="C536" s="29">
        <v>11</v>
      </c>
      <c r="D536" s="25" t="s">
        <v>210</v>
      </c>
      <c r="E536" s="25">
        <v>3</v>
      </c>
    </row>
    <row r="538" spans="1:10" x14ac:dyDescent="0.25">
      <c r="B538" s="25" t="s">
        <v>209</v>
      </c>
      <c r="C538" s="27">
        <f>C528*E528+C529*E529+C530*E530+C531*E531+C532*E532+C533*E533+C534*E534+C535*E535+C536*E536</f>
        <v>305.48450000000003</v>
      </c>
      <c r="D538" s="25" t="s">
        <v>147</v>
      </c>
    </row>
    <row r="540" spans="1:10" ht="15.75" customHeight="1" x14ac:dyDescent="0.25">
      <c r="A540" s="24" t="s">
        <v>273</v>
      </c>
      <c r="B540" s="187" t="s">
        <v>92</v>
      </c>
      <c r="C540" s="188"/>
      <c r="D540" s="188"/>
      <c r="E540" s="188"/>
      <c r="F540" s="188"/>
      <c r="G540" s="188"/>
      <c r="H540" s="188"/>
      <c r="I540" s="188"/>
      <c r="J540" s="189"/>
    </row>
    <row r="541" spans="1:10" ht="16.5" x14ac:dyDescent="0.25">
      <c r="A541" s="26"/>
      <c r="B541" s="35" t="s">
        <v>213</v>
      </c>
      <c r="C541" s="35"/>
      <c r="D541" s="26"/>
      <c r="E541" s="26"/>
      <c r="F541" s="26"/>
      <c r="G541" s="26"/>
      <c r="H541" s="26"/>
      <c r="I541" s="26"/>
      <c r="J541" s="26"/>
    </row>
    <row r="542" spans="1:10" x14ac:dyDescent="0.25">
      <c r="A542" s="26"/>
      <c r="B542" s="28" t="s">
        <v>215</v>
      </c>
      <c r="C542" s="25" t="s">
        <v>147</v>
      </c>
      <c r="D542" s="25"/>
      <c r="E542" s="25" t="s">
        <v>212</v>
      </c>
      <c r="F542" s="26"/>
      <c r="G542" s="26"/>
      <c r="H542" s="26"/>
      <c r="I542" s="26"/>
      <c r="J542" s="26"/>
    </row>
    <row r="543" spans="1:10" x14ac:dyDescent="0.25">
      <c r="B543" s="25" t="s">
        <v>209</v>
      </c>
      <c r="C543" s="29">
        <v>24.72</v>
      </c>
      <c r="D543" s="25" t="s">
        <v>210</v>
      </c>
      <c r="E543" s="25">
        <v>3</v>
      </c>
    </row>
    <row r="544" spans="1:10" ht="0.75" customHeight="1" x14ac:dyDescent="0.25">
      <c r="B544" s="25" t="s">
        <v>209</v>
      </c>
      <c r="C544" s="29">
        <v>22.62</v>
      </c>
      <c r="D544" s="25" t="s">
        <v>210</v>
      </c>
      <c r="E544" s="25">
        <v>1</v>
      </c>
    </row>
    <row r="545" spans="1:10" ht="0.75" customHeight="1" x14ac:dyDescent="0.25">
      <c r="B545" s="25" t="s">
        <v>209</v>
      </c>
      <c r="C545" s="29">
        <v>13.9</v>
      </c>
      <c r="D545" s="25" t="s">
        <v>210</v>
      </c>
      <c r="E545" s="25">
        <v>1</v>
      </c>
    </row>
    <row r="546" spans="1:10" x14ac:dyDescent="0.25">
      <c r="B546" s="25" t="s">
        <v>209</v>
      </c>
      <c r="C546" s="29">
        <v>13.7</v>
      </c>
      <c r="D546" s="25" t="s">
        <v>210</v>
      </c>
      <c r="E546" s="25">
        <v>1</v>
      </c>
    </row>
    <row r="547" spans="1:10" x14ac:dyDescent="0.25">
      <c r="B547" s="25" t="s">
        <v>209</v>
      </c>
      <c r="C547" s="29">
        <v>13.6</v>
      </c>
      <c r="D547" s="25" t="s">
        <v>210</v>
      </c>
      <c r="E547" s="25">
        <v>1</v>
      </c>
    </row>
    <row r="548" spans="1:10" ht="15" customHeight="1" x14ac:dyDescent="0.25">
      <c r="B548" s="25" t="s">
        <v>209</v>
      </c>
      <c r="C548" s="29">
        <v>17.2</v>
      </c>
      <c r="D548" s="25" t="s">
        <v>210</v>
      </c>
      <c r="E548" s="25">
        <v>2</v>
      </c>
    </row>
    <row r="549" spans="1:10" ht="15" customHeight="1" x14ac:dyDescent="0.25">
      <c r="B549" s="25" t="s">
        <v>209</v>
      </c>
      <c r="C549" s="29">
        <v>12.4</v>
      </c>
      <c r="D549" s="25" t="s">
        <v>210</v>
      </c>
      <c r="E549" s="25">
        <v>2</v>
      </c>
    </row>
    <row r="551" spans="1:10" x14ac:dyDescent="0.25">
      <c r="B551" s="25" t="s">
        <v>209</v>
      </c>
      <c r="C551" s="27">
        <f>C543*E543+C544*E544+C545*E545+C546*E546+C547*E547+C548*E548+C549*E549</f>
        <v>197.18000000000004</v>
      </c>
      <c r="D551" s="25" t="s">
        <v>147</v>
      </c>
    </row>
    <row r="555" spans="1:10" x14ac:dyDescent="0.25">
      <c r="A555" s="24" t="s">
        <v>154</v>
      </c>
      <c r="B555" s="34" t="s">
        <v>93</v>
      </c>
      <c r="C555" s="35"/>
      <c r="D555" s="35"/>
      <c r="E555" s="35"/>
      <c r="F555" s="35"/>
      <c r="G555" s="35"/>
      <c r="H555" s="35"/>
      <c r="I555" s="35"/>
      <c r="J555" s="36"/>
    </row>
    <row r="556" spans="1:10" ht="15" customHeight="1" x14ac:dyDescent="0.25">
      <c r="A556" s="24" t="s">
        <v>301</v>
      </c>
      <c r="B556" s="187" t="s">
        <v>98</v>
      </c>
      <c r="C556" s="188"/>
      <c r="D556" s="188"/>
      <c r="E556" s="188"/>
      <c r="F556" s="188"/>
      <c r="G556" s="188"/>
      <c r="H556" s="188"/>
      <c r="I556" s="188"/>
      <c r="J556" s="189"/>
    </row>
    <row r="557" spans="1:10" ht="16.5" x14ac:dyDescent="0.25">
      <c r="A557" s="26"/>
      <c r="B557" s="35" t="s">
        <v>213</v>
      </c>
      <c r="C557" s="35"/>
      <c r="D557" s="26"/>
      <c r="E557" s="26"/>
      <c r="F557" s="26"/>
      <c r="G557" s="26"/>
      <c r="H557" s="26"/>
      <c r="I557" s="26"/>
      <c r="J557" s="26"/>
    </row>
    <row r="558" spans="1:10" x14ac:dyDescent="0.25">
      <c r="A558" s="26"/>
      <c r="B558" s="28" t="s">
        <v>215</v>
      </c>
      <c r="C558" s="25" t="s">
        <v>147</v>
      </c>
      <c r="D558" s="25"/>
      <c r="E558" s="25" t="s">
        <v>212</v>
      </c>
      <c r="F558" s="26"/>
      <c r="G558" s="26"/>
      <c r="H558" s="26"/>
      <c r="I558" s="26"/>
      <c r="J558" s="26"/>
    </row>
    <row r="559" spans="1:10" x14ac:dyDescent="0.25">
      <c r="B559" s="25" t="s">
        <v>209</v>
      </c>
      <c r="C559" s="29">
        <v>38.186</v>
      </c>
      <c r="D559" s="25" t="s">
        <v>210</v>
      </c>
      <c r="E559" s="25">
        <v>3</v>
      </c>
    </row>
    <row r="560" spans="1:10" x14ac:dyDescent="0.25">
      <c r="B560" s="25" t="s">
        <v>209</v>
      </c>
      <c r="C560" s="29">
        <v>33.72</v>
      </c>
      <c r="D560" s="25" t="s">
        <v>210</v>
      </c>
      <c r="E560" s="25">
        <v>1</v>
      </c>
    </row>
    <row r="561" spans="1:10" x14ac:dyDescent="0.25">
      <c r="B561" s="25" t="s">
        <v>209</v>
      </c>
      <c r="C561" s="29">
        <v>16.794</v>
      </c>
      <c r="D561" s="25" t="s">
        <v>210</v>
      </c>
      <c r="E561" s="25">
        <v>1</v>
      </c>
    </row>
    <row r="562" spans="1:10" x14ac:dyDescent="0.25">
      <c r="B562" s="25" t="s">
        <v>209</v>
      </c>
      <c r="C562" s="29">
        <v>7.5</v>
      </c>
      <c r="D562" s="25" t="s">
        <v>210</v>
      </c>
      <c r="E562" s="25">
        <v>1</v>
      </c>
    </row>
    <row r="563" spans="1:10" x14ac:dyDescent="0.25">
      <c r="B563" s="25" t="s">
        <v>209</v>
      </c>
      <c r="C563" s="29">
        <v>22.612500000000001</v>
      </c>
      <c r="D563" s="25" t="s">
        <v>210</v>
      </c>
      <c r="E563" s="25">
        <v>1</v>
      </c>
    </row>
    <row r="564" spans="1:10" ht="15" customHeight="1" x14ac:dyDescent="0.25">
      <c r="B564" s="25" t="s">
        <v>209</v>
      </c>
      <c r="C564" s="29">
        <v>20.8</v>
      </c>
      <c r="D564" s="25" t="s">
        <v>210</v>
      </c>
      <c r="E564" s="25">
        <v>2</v>
      </c>
    </row>
    <row r="565" spans="1:10" ht="15" customHeight="1" x14ac:dyDescent="0.25">
      <c r="B565" s="25" t="s">
        <v>209</v>
      </c>
      <c r="C565" s="29">
        <v>8.4</v>
      </c>
      <c r="D565" s="25" t="s">
        <v>210</v>
      </c>
      <c r="E565" s="25">
        <v>2</v>
      </c>
    </row>
    <row r="566" spans="1:10" x14ac:dyDescent="0.25">
      <c r="B566" s="25" t="s">
        <v>209</v>
      </c>
      <c r="C566" s="29">
        <v>18.899999999999999</v>
      </c>
      <c r="D566" s="25" t="s">
        <v>210</v>
      </c>
      <c r="E566" s="25">
        <v>1</v>
      </c>
    </row>
    <row r="567" spans="1:10" x14ac:dyDescent="0.25">
      <c r="B567" s="25" t="s">
        <v>209</v>
      </c>
      <c r="C567" s="29">
        <v>11</v>
      </c>
      <c r="D567" s="25" t="s">
        <v>210</v>
      </c>
      <c r="E567" s="25">
        <v>3</v>
      </c>
    </row>
    <row r="569" spans="1:10" x14ac:dyDescent="0.25">
      <c r="B569" s="25" t="s">
        <v>209</v>
      </c>
      <c r="C569" s="27">
        <f>C559*E559+C560*E560+C561*E561+C562*E562+C563*E563+C564*E564+C565*E565+C566*E566+C567*E567</f>
        <v>305.48450000000003</v>
      </c>
      <c r="D569" s="25" t="s">
        <v>147</v>
      </c>
    </row>
    <row r="571" spans="1:10" x14ac:dyDescent="0.25">
      <c r="A571" s="24" t="s">
        <v>303</v>
      </c>
      <c r="B571" s="34" t="s">
        <v>304</v>
      </c>
      <c r="C571" s="35"/>
      <c r="D571" s="35"/>
      <c r="E571" s="35"/>
      <c r="F571" s="35"/>
      <c r="G571" s="35"/>
      <c r="H571" s="35"/>
      <c r="I571" s="35"/>
      <c r="J571" s="36"/>
    </row>
    <row r="572" spans="1:10" ht="12" customHeight="1" x14ac:dyDescent="0.25">
      <c r="A572" s="24" t="s">
        <v>305</v>
      </c>
      <c r="B572" s="187" t="s">
        <v>94</v>
      </c>
      <c r="C572" s="188"/>
      <c r="D572" s="188"/>
      <c r="E572" s="188"/>
      <c r="F572" s="188"/>
      <c r="G572" s="188"/>
      <c r="H572" s="188"/>
      <c r="I572" s="188"/>
      <c r="J572" s="189"/>
    </row>
    <row r="573" spans="1:10" ht="16.5" x14ac:dyDescent="0.25">
      <c r="A573" s="26"/>
      <c r="B573" s="35" t="s">
        <v>213</v>
      </c>
      <c r="C573" s="35"/>
      <c r="D573" s="26"/>
      <c r="E573" s="26"/>
    </row>
    <row r="574" spans="1:10" x14ac:dyDescent="0.25">
      <c r="A574" s="26"/>
      <c r="B574" s="28" t="s">
        <v>215</v>
      </c>
      <c r="C574" s="25" t="s">
        <v>147</v>
      </c>
      <c r="D574" s="25"/>
      <c r="E574" s="25" t="s">
        <v>212</v>
      </c>
    </row>
    <row r="575" spans="1:10" x14ac:dyDescent="0.25">
      <c r="B575" s="25" t="s">
        <v>209</v>
      </c>
      <c r="C575" s="29">
        <v>24.032</v>
      </c>
      <c r="D575" s="25" t="s">
        <v>210</v>
      </c>
      <c r="E575" s="25">
        <v>6</v>
      </c>
    </row>
    <row r="576" spans="1:10" x14ac:dyDescent="0.25">
      <c r="B576" s="25" t="s">
        <v>209</v>
      </c>
      <c r="C576" s="29">
        <v>21.44</v>
      </c>
      <c r="D576" s="25" t="s">
        <v>210</v>
      </c>
      <c r="E576" s="25">
        <v>2</v>
      </c>
    </row>
    <row r="577" spans="1:5" x14ac:dyDescent="0.25">
      <c r="B577" s="25" t="s">
        <v>209</v>
      </c>
      <c r="C577" s="29">
        <v>43.808</v>
      </c>
      <c r="D577" s="25" t="s">
        <v>210</v>
      </c>
      <c r="E577" s="25">
        <v>1</v>
      </c>
    </row>
    <row r="578" spans="1:5" x14ac:dyDescent="0.25">
      <c r="B578" s="25" t="s">
        <v>209</v>
      </c>
      <c r="C578" s="29">
        <v>20</v>
      </c>
      <c r="D578" s="25" t="s">
        <v>210</v>
      </c>
      <c r="E578" s="25">
        <v>1</v>
      </c>
    </row>
    <row r="579" spans="1:5" x14ac:dyDescent="0.25">
      <c r="B579" s="25" t="s">
        <v>209</v>
      </c>
      <c r="C579" s="29">
        <v>7.4</v>
      </c>
      <c r="D579" s="25" t="s">
        <v>210</v>
      </c>
      <c r="E579" s="25">
        <v>4</v>
      </c>
    </row>
    <row r="580" spans="1:5" x14ac:dyDescent="0.25">
      <c r="A580" s="26"/>
      <c r="B580" s="25" t="s">
        <v>209</v>
      </c>
      <c r="C580" s="29">
        <v>18.32</v>
      </c>
      <c r="D580" s="25" t="s">
        <v>210</v>
      </c>
      <c r="E580" s="25">
        <v>4</v>
      </c>
    </row>
    <row r="581" spans="1:5" x14ac:dyDescent="0.25">
      <c r="B581" s="25" t="s">
        <v>209</v>
      </c>
      <c r="C581" s="29">
        <v>21.52</v>
      </c>
      <c r="D581" s="25" t="s">
        <v>210</v>
      </c>
      <c r="E581" s="25">
        <v>6</v>
      </c>
    </row>
    <row r="582" spans="1:5" x14ac:dyDescent="0.25">
      <c r="B582" s="25" t="s">
        <v>209</v>
      </c>
      <c r="C582" s="29">
        <v>53.247999999999998</v>
      </c>
      <c r="D582" s="25" t="s">
        <v>210</v>
      </c>
      <c r="E582" s="25">
        <v>3</v>
      </c>
    </row>
    <row r="583" spans="1:5" x14ac:dyDescent="0.25">
      <c r="B583" s="25" t="s">
        <v>209</v>
      </c>
      <c r="C583" s="29">
        <v>18.079999999999998</v>
      </c>
      <c r="D583" s="25" t="s">
        <v>210</v>
      </c>
      <c r="E583" s="25">
        <v>10</v>
      </c>
    </row>
    <row r="584" spans="1:5" x14ac:dyDescent="0.25">
      <c r="B584" s="25" t="s">
        <v>209</v>
      </c>
      <c r="C584" s="29">
        <v>60.5</v>
      </c>
      <c r="D584" s="25" t="s">
        <v>210</v>
      </c>
      <c r="E584" s="25">
        <v>1</v>
      </c>
    </row>
    <row r="585" spans="1:5" x14ac:dyDescent="0.25">
      <c r="B585" s="25" t="s">
        <v>209</v>
      </c>
      <c r="C585" s="29">
        <v>20.399999999999999</v>
      </c>
      <c r="D585" s="25" t="s">
        <v>210</v>
      </c>
      <c r="E585" s="25">
        <v>1</v>
      </c>
    </row>
    <row r="586" spans="1:5" ht="15" customHeight="1" x14ac:dyDescent="0.25">
      <c r="B586" s="25" t="s">
        <v>209</v>
      </c>
      <c r="C586" s="29">
        <v>37.5</v>
      </c>
      <c r="D586" s="25" t="s">
        <v>210</v>
      </c>
      <c r="E586" s="25">
        <v>2</v>
      </c>
    </row>
    <row r="587" spans="1:5" ht="15" customHeight="1" x14ac:dyDescent="0.25">
      <c r="B587" s="25" t="s">
        <v>209</v>
      </c>
      <c r="C587" s="29">
        <v>30.25</v>
      </c>
      <c r="D587" s="25" t="s">
        <v>210</v>
      </c>
      <c r="E587" s="25">
        <v>1</v>
      </c>
    </row>
    <row r="588" spans="1:5" x14ac:dyDescent="0.25">
      <c r="B588" s="25" t="s">
        <v>209</v>
      </c>
      <c r="C588" s="29">
        <v>28.032</v>
      </c>
      <c r="D588" s="25" t="s">
        <v>210</v>
      </c>
      <c r="E588" s="25">
        <v>1</v>
      </c>
    </row>
    <row r="589" spans="1:5" x14ac:dyDescent="0.25">
      <c r="B589" s="25" t="s">
        <v>209</v>
      </c>
      <c r="C589" s="29">
        <v>28.7</v>
      </c>
      <c r="D589" s="25" t="s">
        <v>210</v>
      </c>
      <c r="E589" s="25">
        <v>1</v>
      </c>
    </row>
    <row r="590" spans="1:5" x14ac:dyDescent="0.25">
      <c r="B590" s="25" t="s">
        <v>209</v>
      </c>
      <c r="C590" s="29">
        <v>54.5</v>
      </c>
      <c r="D590" s="25" t="s">
        <v>210</v>
      </c>
      <c r="E590" s="25">
        <v>1</v>
      </c>
    </row>
    <row r="592" spans="1:5" x14ac:dyDescent="0.25">
      <c r="B592" s="25" t="s">
        <v>209</v>
      </c>
      <c r="C592" s="27">
        <f>C575*E575+C581*E581+C582*E582+C583*E583+C576*E576+C577*E577+C578*E578+C579*E579+C580*E580+C584*E584+C585*E585+C586*E586+C587*E587+C588*E588+C589*E589+C590*E590</f>
        <v>1120.806</v>
      </c>
      <c r="D592" s="25" t="s">
        <v>147</v>
      </c>
    </row>
    <row r="594" spans="1:10" ht="14.25" customHeight="1" x14ac:dyDescent="0.25">
      <c r="A594" s="24" t="s">
        <v>306</v>
      </c>
      <c r="B594" s="187" t="s">
        <v>95</v>
      </c>
      <c r="C594" s="188"/>
      <c r="D594" s="188"/>
      <c r="E594" s="188"/>
      <c r="F594" s="188"/>
      <c r="G594" s="188"/>
      <c r="H594" s="188"/>
      <c r="I594" s="188"/>
      <c r="J594" s="189"/>
    </row>
    <row r="595" spans="1:10" ht="16.5" x14ac:dyDescent="0.25">
      <c r="A595" s="26"/>
      <c r="B595" s="35" t="s">
        <v>213</v>
      </c>
      <c r="C595" s="35"/>
      <c r="D595" s="26"/>
      <c r="E595" s="26"/>
    </row>
    <row r="596" spans="1:10" x14ac:dyDescent="0.25">
      <c r="A596" s="26"/>
      <c r="B596" s="28" t="s">
        <v>215</v>
      </c>
      <c r="C596" s="25" t="s">
        <v>147</v>
      </c>
      <c r="D596" s="25"/>
      <c r="E596" s="25" t="s">
        <v>212</v>
      </c>
    </row>
    <row r="597" spans="1:10" x14ac:dyDescent="0.25">
      <c r="B597" s="25" t="s">
        <v>209</v>
      </c>
      <c r="C597" s="29">
        <v>24.032</v>
      </c>
      <c r="D597" s="25" t="s">
        <v>210</v>
      </c>
      <c r="E597" s="25">
        <v>6</v>
      </c>
    </row>
    <row r="598" spans="1:10" x14ac:dyDescent="0.25">
      <c r="B598" s="25" t="s">
        <v>209</v>
      </c>
      <c r="C598" s="29">
        <v>21.44</v>
      </c>
      <c r="D598" s="25" t="s">
        <v>210</v>
      </c>
      <c r="E598" s="25">
        <v>2</v>
      </c>
    </row>
    <row r="599" spans="1:10" x14ac:dyDescent="0.25">
      <c r="B599" s="25" t="s">
        <v>209</v>
      </c>
      <c r="C599" s="29">
        <v>43.808</v>
      </c>
      <c r="D599" s="25" t="s">
        <v>210</v>
      </c>
      <c r="E599" s="25">
        <v>1</v>
      </c>
    </row>
    <row r="600" spans="1:10" x14ac:dyDescent="0.25">
      <c r="B600" s="25" t="s">
        <v>209</v>
      </c>
      <c r="C600" s="29">
        <v>20</v>
      </c>
      <c r="D600" s="25" t="s">
        <v>210</v>
      </c>
      <c r="E600" s="25">
        <v>1</v>
      </c>
    </row>
    <row r="601" spans="1:10" x14ac:dyDescent="0.25">
      <c r="B601" s="25" t="s">
        <v>209</v>
      </c>
      <c r="C601" s="29">
        <v>7.4</v>
      </c>
      <c r="D601" s="25" t="s">
        <v>210</v>
      </c>
      <c r="E601" s="25">
        <v>4</v>
      </c>
    </row>
    <row r="602" spans="1:10" x14ac:dyDescent="0.25">
      <c r="A602" s="26"/>
      <c r="B602" s="25" t="s">
        <v>209</v>
      </c>
      <c r="C602" s="29">
        <v>18.32</v>
      </c>
      <c r="D602" s="25" t="s">
        <v>210</v>
      </c>
      <c r="E602" s="25">
        <v>4</v>
      </c>
    </row>
    <row r="603" spans="1:10" x14ac:dyDescent="0.25">
      <c r="B603" s="25" t="s">
        <v>209</v>
      </c>
      <c r="C603" s="29">
        <v>21.52</v>
      </c>
      <c r="D603" s="25" t="s">
        <v>210</v>
      </c>
      <c r="E603" s="25">
        <v>6</v>
      </c>
    </row>
    <row r="604" spans="1:10" x14ac:dyDescent="0.25">
      <c r="B604" s="25" t="s">
        <v>209</v>
      </c>
      <c r="C604" s="29">
        <v>53.247999999999998</v>
      </c>
      <c r="D604" s="25" t="s">
        <v>210</v>
      </c>
      <c r="E604" s="25">
        <v>3</v>
      </c>
    </row>
    <row r="605" spans="1:10" x14ac:dyDescent="0.25">
      <c r="B605" s="25" t="s">
        <v>209</v>
      </c>
      <c r="C605" s="29">
        <v>18.079999999999998</v>
      </c>
      <c r="D605" s="25" t="s">
        <v>210</v>
      </c>
      <c r="E605" s="25">
        <v>10</v>
      </c>
    </row>
    <row r="606" spans="1:10" x14ac:dyDescent="0.25">
      <c r="B606" s="25" t="s">
        <v>209</v>
      </c>
      <c r="C606" s="29">
        <v>60.5</v>
      </c>
      <c r="D606" s="25" t="s">
        <v>210</v>
      </c>
      <c r="E606" s="25">
        <v>1</v>
      </c>
    </row>
    <row r="607" spans="1:10" x14ac:dyDescent="0.25">
      <c r="B607" s="25" t="s">
        <v>209</v>
      </c>
      <c r="C607" s="29">
        <v>20.399999999999999</v>
      </c>
      <c r="D607" s="25" t="s">
        <v>210</v>
      </c>
      <c r="E607" s="25">
        <v>1</v>
      </c>
    </row>
    <row r="608" spans="1:10" ht="15" customHeight="1" x14ac:dyDescent="0.25">
      <c r="B608" s="25" t="s">
        <v>209</v>
      </c>
      <c r="C608" s="29">
        <v>37.5</v>
      </c>
      <c r="D608" s="25" t="s">
        <v>210</v>
      </c>
      <c r="E608" s="25">
        <v>2</v>
      </c>
    </row>
    <row r="609" spans="1:10" ht="15" customHeight="1" x14ac:dyDescent="0.25">
      <c r="B609" s="25" t="s">
        <v>209</v>
      </c>
      <c r="C609" s="29">
        <v>30.25</v>
      </c>
      <c r="D609" s="25" t="s">
        <v>210</v>
      </c>
      <c r="E609" s="25">
        <v>1</v>
      </c>
    </row>
    <row r="610" spans="1:10" x14ac:dyDescent="0.25">
      <c r="B610" s="25" t="s">
        <v>209</v>
      </c>
      <c r="C610" s="29">
        <v>28.032</v>
      </c>
      <c r="D610" s="25" t="s">
        <v>210</v>
      </c>
      <c r="E610" s="25">
        <v>1</v>
      </c>
    </row>
    <row r="611" spans="1:10" x14ac:dyDescent="0.25">
      <c r="B611" s="25" t="s">
        <v>209</v>
      </c>
      <c r="C611" s="29">
        <v>28.7</v>
      </c>
      <c r="D611" s="25" t="s">
        <v>210</v>
      </c>
      <c r="E611" s="25">
        <v>1</v>
      </c>
    </row>
    <row r="612" spans="1:10" x14ac:dyDescent="0.25">
      <c r="B612" s="25" t="s">
        <v>209</v>
      </c>
      <c r="C612" s="29">
        <v>54.5</v>
      </c>
      <c r="D612" s="25" t="s">
        <v>210</v>
      </c>
      <c r="E612" s="25">
        <v>1</v>
      </c>
    </row>
    <row r="614" spans="1:10" x14ac:dyDescent="0.25">
      <c r="B614" s="25" t="s">
        <v>209</v>
      </c>
      <c r="C614" s="27">
        <f>C597*E597+C603*E603+C604*E604+C605*E605+C598*E598+C599*E599+C600*E600+C601*E601+C602*E602+C606*E606+C607*E607+C608*E608+C609*E609+C610*E610+C611*E611+C612*E612</f>
        <v>1120.806</v>
      </c>
      <c r="D614" s="25" t="s">
        <v>147</v>
      </c>
    </row>
    <row r="616" spans="1:10" ht="14.25" customHeight="1" x14ac:dyDescent="0.25">
      <c r="A616" s="24" t="s">
        <v>307</v>
      </c>
      <c r="B616" s="187" t="s">
        <v>96</v>
      </c>
      <c r="C616" s="188"/>
      <c r="D616" s="188"/>
      <c r="E616" s="188"/>
      <c r="F616" s="188"/>
      <c r="G616" s="188"/>
      <c r="H616" s="188"/>
      <c r="I616" s="188"/>
      <c r="J616" s="189"/>
    </row>
    <row r="617" spans="1:10" ht="16.5" x14ac:dyDescent="0.25">
      <c r="A617" s="26"/>
      <c r="B617" s="35" t="s">
        <v>213</v>
      </c>
      <c r="C617" s="35"/>
      <c r="D617" s="26"/>
      <c r="E617" s="26"/>
    </row>
    <row r="618" spans="1:10" x14ac:dyDescent="0.25">
      <c r="A618" s="26"/>
      <c r="B618" s="28" t="s">
        <v>215</v>
      </c>
      <c r="C618" s="25" t="s">
        <v>147</v>
      </c>
      <c r="D618" s="25"/>
      <c r="E618" s="25" t="s">
        <v>212</v>
      </c>
    </row>
    <row r="619" spans="1:10" x14ac:dyDescent="0.25">
      <c r="B619" s="25" t="s">
        <v>209</v>
      </c>
      <c r="C619" s="29">
        <v>24.032</v>
      </c>
      <c r="D619" s="25" t="s">
        <v>210</v>
      </c>
      <c r="E619" s="25">
        <v>6</v>
      </c>
    </row>
    <row r="620" spans="1:10" x14ac:dyDescent="0.25">
      <c r="B620" s="25" t="s">
        <v>209</v>
      </c>
      <c r="C620" s="29">
        <v>21.44</v>
      </c>
      <c r="D620" s="25" t="s">
        <v>210</v>
      </c>
      <c r="E620" s="25">
        <v>2</v>
      </c>
    </row>
    <row r="621" spans="1:10" x14ac:dyDescent="0.25">
      <c r="B621" s="25" t="s">
        <v>209</v>
      </c>
      <c r="C621" s="29">
        <v>43.808</v>
      </c>
      <c r="D621" s="25" t="s">
        <v>210</v>
      </c>
      <c r="E621" s="25">
        <v>1</v>
      </c>
    </row>
    <row r="622" spans="1:10" x14ac:dyDescent="0.25">
      <c r="B622" s="25" t="s">
        <v>209</v>
      </c>
      <c r="C622" s="29">
        <v>20</v>
      </c>
      <c r="D622" s="25" t="s">
        <v>210</v>
      </c>
      <c r="E622" s="25">
        <v>1</v>
      </c>
    </row>
    <row r="623" spans="1:10" x14ac:dyDescent="0.25">
      <c r="B623" s="25" t="s">
        <v>209</v>
      </c>
      <c r="C623" s="29">
        <v>7.4</v>
      </c>
      <c r="D623" s="25" t="s">
        <v>210</v>
      </c>
      <c r="E623" s="25">
        <v>4</v>
      </c>
    </row>
    <row r="624" spans="1:10" x14ac:dyDescent="0.25">
      <c r="A624" s="26"/>
      <c r="B624" s="25" t="s">
        <v>209</v>
      </c>
      <c r="C624" s="29">
        <v>18.32</v>
      </c>
      <c r="D624" s="25" t="s">
        <v>210</v>
      </c>
      <c r="E624" s="25">
        <v>4</v>
      </c>
    </row>
    <row r="625" spans="1:10" x14ac:dyDescent="0.25">
      <c r="B625" s="25" t="s">
        <v>209</v>
      </c>
      <c r="C625" s="29">
        <v>21.52</v>
      </c>
      <c r="D625" s="25" t="s">
        <v>210</v>
      </c>
      <c r="E625" s="25">
        <v>6</v>
      </c>
    </row>
    <row r="626" spans="1:10" x14ac:dyDescent="0.25">
      <c r="B626" s="25" t="s">
        <v>209</v>
      </c>
      <c r="C626" s="29">
        <v>53.247999999999998</v>
      </c>
      <c r="D626" s="25" t="s">
        <v>210</v>
      </c>
      <c r="E626" s="25">
        <v>3</v>
      </c>
    </row>
    <row r="627" spans="1:10" x14ac:dyDescent="0.25">
      <c r="B627" s="25" t="s">
        <v>209</v>
      </c>
      <c r="C627" s="29">
        <v>18.079999999999998</v>
      </c>
      <c r="D627" s="25" t="s">
        <v>210</v>
      </c>
      <c r="E627" s="25">
        <v>10</v>
      </c>
    </row>
    <row r="628" spans="1:10" x14ac:dyDescent="0.25">
      <c r="B628" s="25" t="s">
        <v>209</v>
      </c>
      <c r="C628" s="29">
        <v>60.5</v>
      </c>
      <c r="D628" s="25" t="s">
        <v>210</v>
      </c>
      <c r="E628" s="25">
        <v>1</v>
      </c>
    </row>
    <row r="629" spans="1:10" x14ac:dyDescent="0.25">
      <c r="B629" s="25" t="s">
        <v>209</v>
      </c>
      <c r="C629" s="29">
        <v>20.399999999999999</v>
      </c>
      <c r="D629" s="25" t="s">
        <v>210</v>
      </c>
      <c r="E629" s="25">
        <v>1</v>
      </c>
    </row>
    <row r="630" spans="1:10" ht="15" customHeight="1" x14ac:dyDescent="0.25">
      <c r="B630" s="25" t="s">
        <v>209</v>
      </c>
      <c r="C630" s="29">
        <v>37.5</v>
      </c>
      <c r="D630" s="25" t="s">
        <v>210</v>
      </c>
      <c r="E630" s="25">
        <v>2</v>
      </c>
    </row>
    <row r="631" spans="1:10" ht="15" customHeight="1" x14ac:dyDescent="0.25">
      <c r="B631" s="25" t="s">
        <v>209</v>
      </c>
      <c r="C631" s="29">
        <v>30.25</v>
      </c>
      <c r="D631" s="25" t="s">
        <v>210</v>
      </c>
      <c r="E631" s="25">
        <v>1</v>
      </c>
    </row>
    <row r="632" spans="1:10" x14ac:dyDescent="0.25">
      <c r="B632" s="25" t="s">
        <v>209</v>
      </c>
      <c r="C632" s="29">
        <v>28.032</v>
      </c>
      <c r="D632" s="25" t="s">
        <v>210</v>
      </c>
      <c r="E632" s="25">
        <v>1</v>
      </c>
    </row>
    <row r="633" spans="1:10" x14ac:dyDescent="0.25">
      <c r="B633" s="25" t="s">
        <v>209</v>
      </c>
      <c r="C633" s="29">
        <v>28.7</v>
      </c>
      <c r="D633" s="25" t="s">
        <v>210</v>
      </c>
      <c r="E633" s="25">
        <v>1</v>
      </c>
    </row>
    <row r="634" spans="1:10" x14ac:dyDescent="0.25">
      <c r="B634" s="25" t="s">
        <v>209</v>
      </c>
      <c r="C634" s="29">
        <v>54.5</v>
      </c>
      <c r="D634" s="25" t="s">
        <v>210</v>
      </c>
      <c r="E634" s="25">
        <v>1</v>
      </c>
    </row>
    <row r="636" spans="1:10" x14ac:dyDescent="0.25">
      <c r="B636" s="25" t="s">
        <v>209</v>
      </c>
      <c r="C636" s="27">
        <f>C619*E619+C625*E625+C626*E626+C627*E627+C620*E620+C621*E621+C622*E622+C623*E623+C624*E624+C628*E628+C629*E629+C630*E630+C631*E631+C632*E632+C633*E633+C634*E634</f>
        <v>1120.806</v>
      </c>
      <c r="D636" s="25" t="s">
        <v>147</v>
      </c>
    </row>
    <row r="638" spans="1:10" ht="15" customHeight="1" x14ac:dyDescent="0.25">
      <c r="A638" s="24" t="s">
        <v>308</v>
      </c>
      <c r="B638" s="187" t="s">
        <v>97</v>
      </c>
      <c r="C638" s="188"/>
      <c r="D638" s="188"/>
      <c r="E638" s="188"/>
      <c r="F638" s="188"/>
      <c r="G638" s="188"/>
      <c r="H638" s="188"/>
      <c r="I638" s="188"/>
      <c r="J638" s="189"/>
    </row>
    <row r="639" spans="1:10" ht="16.5" x14ac:dyDescent="0.25">
      <c r="A639" s="26"/>
      <c r="B639" s="35" t="s">
        <v>213</v>
      </c>
      <c r="C639" s="35"/>
      <c r="D639" s="26"/>
      <c r="E639" s="26"/>
    </row>
    <row r="640" spans="1:10" x14ac:dyDescent="0.25">
      <c r="A640" s="26"/>
      <c r="B640" s="28" t="s">
        <v>215</v>
      </c>
      <c r="C640" s="25" t="s">
        <v>147</v>
      </c>
      <c r="D640" s="25"/>
      <c r="E640" s="25" t="s">
        <v>212</v>
      </c>
    </row>
    <row r="641" spans="1:5" x14ac:dyDescent="0.25">
      <c r="B641" s="25" t="s">
        <v>209</v>
      </c>
      <c r="C641" s="29">
        <v>24.032</v>
      </c>
      <c r="D641" s="25" t="s">
        <v>210</v>
      </c>
      <c r="E641" s="25">
        <v>6</v>
      </c>
    </row>
    <row r="642" spans="1:5" x14ac:dyDescent="0.25">
      <c r="B642" s="25" t="s">
        <v>209</v>
      </c>
      <c r="C642" s="29">
        <v>21.44</v>
      </c>
      <c r="D642" s="25" t="s">
        <v>210</v>
      </c>
      <c r="E642" s="25">
        <v>2</v>
      </c>
    </row>
    <row r="643" spans="1:5" x14ac:dyDescent="0.25">
      <c r="B643" s="25" t="s">
        <v>209</v>
      </c>
      <c r="C643" s="29">
        <v>43.808</v>
      </c>
      <c r="D643" s="25" t="s">
        <v>210</v>
      </c>
      <c r="E643" s="25">
        <v>1</v>
      </c>
    </row>
    <row r="644" spans="1:5" x14ac:dyDescent="0.25">
      <c r="B644" s="25" t="s">
        <v>209</v>
      </c>
      <c r="C644" s="29">
        <v>20</v>
      </c>
      <c r="D644" s="25" t="s">
        <v>210</v>
      </c>
      <c r="E644" s="25">
        <v>1</v>
      </c>
    </row>
    <row r="645" spans="1:5" x14ac:dyDescent="0.25">
      <c r="B645" s="25" t="s">
        <v>209</v>
      </c>
      <c r="C645" s="29">
        <v>7.4</v>
      </c>
      <c r="D645" s="25" t="s">
        <v>210</v>
      </c>
      <c r="E645" s="25">
        <v>4</v>
      </c>
    </row>
    <row r="646" spans="1:5" x14ac:dyDescent="0.25">
      <c r="A646" s="26"/>
      <c r="B646" s="25" t="s">
        <v>209</v>
      </c>
      <c r="C646" s="29">
        <v>18.32</v>
      </c>
      <c r="D646" s="25" t="s">
        <v>210</v>
      </c>
      <c r="E646" s="25">
        <v>4</v>
      </c>
    </row>
    <row r="647" spans="1:5" x14ac:dyDescent="0.25">
      <c r="B647" s="25" t="s">
        <v>209</v>
      </c>
      <c r="C647" s="29">
        <v>21.52</v>
      </c>
      <c r="D647" s="25" t="s">
        <v>210</v>
      </c>
      <c r="E647" s="25">
        <v>6</v>
      </c>
    </row>
    <row r="648" spans="1:5" x14ac:dyDescent="0.25">
      <c r="B648" s="25" t="s">
        <v>209</v>
      </c>
      <c r="C648" s="29">
        <v>53.247999999999998</v>
      </c>
      <c r="D648" s="25" t="s">
        <v>210</v>
      </c>
      <c r="E648" s="25">
        <v>3</v>
      </c>
    </row>
    <row r="649" spans="1:5" x14ac:dyDescent="0.25">
      <c r="B649" s="25" t="s">
        <v>209</v>
      </c>
      <c r="C649" s="29">
        <v>18.079999999999998</v>
      </c>
      <c r="D649" s="25" t="s">
        <v>210</v>
      </c>
      <c r="E649" s="25">
        <v>10</v>
      </c>
    </row>
    <row r="650" spans="1:5" x14ac:dyDescent="0.25">
      <c r="B650" s="25" t="s">
        <v>209</v>
      </c>
      <c r="C650" s="29">
        <v>60.5</v>
      </c>
      <c r="D650" s="25" t="s">
        <v>210</v>
      </c>
      <c r="E650" s="25">
        <v>1</v>
      </c>
    </row>
    <row r="651" spans="1:5" x14ac:dyDescent="0.25">
      <c r="B651" s="25" t="s">
        <v>209</v>
      </c>
      <c r="C651" s="29">
        <v>20.399999999999999</v>
      </c>
      <c r="D651" s="25" t="s">
        <v>210</v>
      </c>
      <c r="E651" s="25">
        <v>1</v>
      </c>
    </row>
    <row r="652" spans="1:5" ht="15" customHeight="1" x14ac:dyDescent="0.25">
      <c r="B652" s="25" t="s">
        <v>209</v>
      </c>
      <c r="C652" s="29">
        <v>37.5</v>
      </c>
      <c r="D652" s="25" t="s">
        <v>210</v>
      </c>
      <c r="E652" s="25">
        <v>2</v>
      </c>
    </row>
    <row r="653" spans="1:5" ht="15" customHeight="1" x14ac:dyDescent="0.25">
      <c r="B653" s="25" t="s">
        <v>209</v>
      </c>
      <c r="C653" s="29">
        <v>30.25</v>
      </c>
      <c r="D653" s="25" t="s">
        <v>210</v>
      </c>
      <c r="E653" s="25">
        <v>1</v>
      </c>
    </row>
    <row r="654" spans="1:5" x14ac:dyDescent="0.25">
      <c r="B654" s="25" t="s">
        <v>209</v>
      </c>
      <c r="C654" s="29">
        <v>28.032</v>
      </c>
      <c r="D654" s="25" t="s">
        <v>210</v>
      </c>
      <c r="E654" s="25">
        <v>1</v>
      </c>
    </row>
    <row r="655" spans="1:5" x14ac:dyDescent="0.25">
      <c r="B655" s="25" t="s">
        <v>209</v>
      </c>
      <c r="C655" s="29">
        <v>28.7</v>
      </c>
      <c r="D655" s="25" t="s">
        <v>210</v>
      </c>
      <c r="E655" s="25">
        <v>1</v>
      </c>
    </row>
    <row r="656" spans="1:5" x14ac:dyDescent="0.25">
      <c r="B656" s="25" t="s">
        <v>209</v>
      </c>
      <c r="C656" s="29">
        <v>54.5</v>
      </c>
      <c r="D656" s="25" t="s">
        <v>210</v>
      </c>
      <c r="E656" s="25">
        <v>1</v>
      </c>
    </row>
    <row r="658" spans="1:10" x14ac:dyDescent="0.25">
      <c r="B658" s="25" t="s">
        <v>209</v>
      </c>
      <c r="C658" s="27">
        <f>C641*E641+C647*E647+C648*E648+C649*E649+C642*E642+C643*E643+C644*E644+C645*E645+C646*E646+C650*E650+C651*E651+C652*E652+C653*E653+C654*E654+C655*E655+C656*E656</f>
        <v>1120.806</v>
      </c>
      <c r="D658" s="25" t="s">
        <v>147</v>
      </c>
    </row>
    <row r="660" spans="1:10" ht="16.5" x14ac:dyDescent="0.25">
      <c r="A660" s="23">
        <v>12</v>
      </c>
      <c r="B660" s="37" t="s">
        <v>139</v>
      </c>
      <c r="C660" s="38"/>
      <c r="D660" s="38"/>
      <c r="E660" s="38"/>
      <c r="F660" s="38"/>
      <c r="G660" s="38"/>
      <c r="H660" s="38"/>
      <c r="I660" s="38"/>
      <c r="J660" s="39"/>
    </row>
    <row r="661" spans="1:10" ht="11.25" customHeight="1" x14ac:dyDescent="0.25">
      <c r="A661" s="24" t="s">
        <v>155</v>
      </c>
      <c r="B661" s="187" t="s">
        <v>137</v>
      </c>
      <c r="C661" s="188"/>
      <c r="D661" s="188"/>
      <c r="E661" s="188"/>
      <c r="F661" s="188"/>
      <c r="G661" s="188"/>
      <c r="H661" s="188"/>
      <c r="I661" s="188"/>
      <c r="J661" s="189"/>
    </row>
    <row r="662" spans="1:10" ht="15" customHeight="1" x14ac:dyDescent="0.25"/>
    <row r="663" spans="1:10" ht="15" customHeight="1" x14ac:dyDescent="0.25">
      <c r="A663" s="26"/>
      <c r="B663" s="28" t="s">
        <v>215</v>
      </c>
      <c r="C663" s="25" t="s">
        <v>147</v>
      </c>
      <c r="D663" s="25"/>
      <c r="E663" s="25" t="s">
        <v>212</v>
      </c>
    </row>
    <row r="664" spans="1:10" x14ac:dyDescent="0.25">
      <c r="B664" s="25" t="s">
        <v>209</v>
      </c>
      <c r="C664" s="29">
        <v>75.349999999999994</v>
      </c>
      <c r="D664" s="25" t="s">
        <v>210</v>
      </c>
      <c r="E664" s="25">
        <v>1</v>
      </c>
    </row>
    <row r="665" spans="1:10" x14ac:dyDescent="0.25">
      <c r="B665" s="25" t="s">
        <v>209</v>
      </c>
      <c r="C665" s="29">
        <v>79.400000000000006</v>
      </c>
      <c r="D665" s="25" t="s">
        <v>210</v>
      </c>
      <c r="E665" s="25">
        <v>1</v>
      </c>
    </row>
    <row r="666" spans="1:10" x14ac:dyDescent="0.25">
      <c r="B666" s="25" t="s">
        <v>209</v>
      </c>
      <c r="C666" s="29">
        <v>51.6</v>
      </c>
      <c r="D666" s="25" t="s">
        <v>210</v>
      </c>
      <c r="E666" s="25">
        <v>1</v>
      </c>
    </row>
    <row r="668" spans="1:10" x14ac:dyDescent="0.25">
      <c r="B668" s="25" t="s">
        <v>209</v>
      </c>
      <c r="C668" s="27">
        <f>C664*E664+C665*E665+C666*E666</f>
        <v>206.35</v>
      </c>
      <c r="D668" s="25" t="s">
        <v>147</v>
      </c>
    </row>
    <row r="670" spans="1:10" ht="16.5" customHeight="1" x14ac:dyDescent="0.25">
      <c r="A670" s="23">
        <v>13</v>
      </c>
      <c r="B670" s="190" t="s">
        <v>295</v>
      </c>
      <c r="C670" s="191"/>
      <c r="D670" s="191"/>
      <c r="E670" s="191"/>
      <c r="F670" s="191"/>
      <c r="G670" s="191"/>
      <c r="H670" s="191"/>
      <c r="I670" s="191"/>
      <c r="J670" s="192"/>
    </row>
    <row r="671" spans="1:10" ht="15" customHeight="1" x14ac:dyDescent="0.25">
      <c r="A671" s="24" t="s">
        <v>275</v>
      </c>
      <c r="B671" s="187" t="s">
        <v>296</v>
      </c>
      <c r="C671" s="188"/>
      <c r="D671" s="188"/>
      <c r="E671" s="188"/>
      <c r="F671" s="188"/>
      <c r="G671" s="188"/>
      <c r="H671" s="188"/>
      <c r="I671" s="188"/>
      <c r="J671" s="189"/>
    </row>
    <row r="673" spans="2:5" x14ac:dyDescent="0.25">
      <c r="B673" s="28" t="s">
        <v>215</v>
      </c>
      <c r="C673" s="25" t="s">
        <v>161</v>
      </c>
      <c r="D673" s="25"/>
      <c r="E673" s="25" t="s">
        <v>161</v>
      </c>
    </row>
    <row r="674" spans="2:5" x14ac:dyDescent="0.25">
      <c r="B674" s="25" t="s">
        <v>209</v>
      </c>
      <c r="C674" s="27">
        <v>27.39</v>
      </c>
      <c r="D674" s="25" t="s">
        <v>210</v>
      </c>
      <c r="E674" s="25">
        <v>30.91</v>
      </c>
    </row>
    <row r="676" spans="2:5" x14ac:dyDescent="0.25">
      <c r="B676" s="25" t="s">
        <v>209</v>
      </c>
      <c r="C676" s="27">
        <f>C674*E674</f>
        <v>846.62490000000003</v>
      </c>
      <c r="D676" s="25" t="s">
        <v>147</v>
      </c>
    </row>
  </sheetData>
  <mergeCells count="98">
    <mergeCell ref="B367:J367"/>
    <mergeCell ref="B371:J371"/>
    <mergeCell ref="B670:J670"/>
    <mergeCell ref="B671:J671"/>
    <mergeCell ref="B211:J211"/>
    <mergeCell ref="B222:J222"/>
    <mergeCell ref="B266:J266"/>
    <mergeCell ref="B350:J350"/>
    <mergeCell ref="B354:J354"/>
    <mergeCell ref="B325:J325"/>
    <mergeCell ref="B329:J329"/>
    <mergeCell ref="B333:J333"/>
    <mergeCell ref="B337:J337"/>
    <mergeCell ref="B341:J341"/>
    <mergeCell ref="B345:J345"/>
    <mergeCell ref="B262:J262"/>
    <mergeCell ref="B359:J359"/>
    <mergeCell ref="B363:J363"/>
    <mergeCell ref="B572:J572"/>
    <mergeCell ref="B594:J594"/>
    <mergeCell ref="B616:J616"/>
    <mergeCell ref="B638:J638"/>
    <mergeCell ref="B661:J661"/>
    <mergeCell ref="B304:J304"/>
    <mergeCell ref="B316:J316"/>
    <mergeCell ref="B317:J317"/>
    <mergeCell ref="B321:J321"/>
    <mergeCell ref="B308:J308"/>
    <mergeCell ref="B312:J312"/>
    <mergeCell ref="B176:J176"/>
    <mergeCell ref="B192:J192"/>
    <mergeCell ref="B203:J203"/>
    <mergeCell ref="B404:J404"/>
    <mergeCell ref="B284:J284"/>
    <mergeCell ref="B285:C285"/>
    <mergeCell ref="B295:J295"/>
    <mergeCell ref="B294:J294"/>
    <mergeCell ref="B300:J300"/>
    <mergeCell ref="B230:J230"/>
    <mergeCell ref="B273:J273"/>
    <mergeCell ref="B274:J274"/>
    <mergeCell ref="B245:J245"/>
    <mergeCell ref="B246:J246"/>
    <mergeCell ref="B254:J254"/>
    <mergeCell ref="B258:J258"/>
    <mergeCell ref="B79:J79"/>
    <mergeCell ref="B139:J139"/>
    <mergeCell ref="B156:J156"/>
    <mergeCell ref="B157:J157"/>
    <mergeCell ref="B169:J169"/>
    <mergeCell ref="B115:J115"/>
    <mergeCell ref="B125:J125"/>
    <mergeCell ref="B88:J88"/>
    <mergeCell ref="B97:J97"/>
    <mergeCell ref="B98:J98"/>
    <mergeCell ref="B108:J108"/>
    <mergeCell ref="B149:J149"/>
    <mergeCell ref="B17:J17"/>
    <mergeCell ref="B24:J24"/>
    <mergeCell ref="B296:J296"/>
    <mergeCell ref="B1:J1"/>
    <mergeCell ref="B2:J2"/>
    <mergeCell ref="B9:J9"/>
    <mergeCell ref="B16:J16"/>
    <mergeCell ref="B231:C231"/>
    <mergeCell ref="B250:J250"/>
    <mergeCell ref="B28:J28"/>
    <mergeCell ref="B35:J35"/>
    <mergeCell ref="B229:J229"/>
    <mergeCell ref="B36:J36"/>
    <mergeCell ref="B52:J52"/>
    <mergeCell ref="B61:J61"/>
    <mergeCell ref="B70:J70"/>
    <mergeCell ref="B384:J384"/>
    <mergeCell ref="B408:J408"/>
    <mergeCell ref="B412:J412"/>
    <mergeCell ref="B416:J416"/>
    <mergeCell ref="B420:J420"/>
    <mergeCell ref="B388:J388"/>
    <mergeCell ref="B392:J392"/>
    <mergeCell ref="B396:J396"/>
    <mergeCell ref="B400:J400"/>
    <mergeCell ref="B185:J185"/>
    <mergeCell ref="B358:J358"/>
    <mergeCell ref="B540:J540"/>
    <mergeCell ref="B556:J556"/>
    <mergeCell ref="B424:J424"/>
    <mergeCell ref="B431:J431"/>
    <mergeCell ref="B446:J446"/>
    <mergeCell ref="B461:J461"/>
    <mergeCell ref="B471:J471"/>
    <mergeCell ref="B484:J484"/>
    <mergeCell ref="B497:J497"/>
    <mergeCell ref="B510:J510"/>
    <mergeCell ref="B525:J525"/>
    <mergeCell ref="B380:J380"/>
    <mergeCell ref="B375:J375"/>
    <mergeCell ref="B379:J37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H12" sqref="H12"/>
    </sheetView>
  </sheetViews>
  <sheetFormatPr defaultRowHeight="15" x14ac:dyDescent="0.25"/>
  <cols>
    <col min="1" max="1" width="40" customWidth="1"/>
  </cols>
  <sheetData>
    <row r="1" spans="1:2" x14ac:dyDescent="0.25">
      <c r="A1" s="196" t="s">
        <v>169</v>
      </c>
      <c r="B1" s="196"/>
    </row>
    <row r="2" spans="1:2" x14ac:dyDescent="0.25">
      <c r="A2" s="197" t="s">
        <v>170</v>
      </c>
      <c r="B2" s="197"/>
    </row>
    <row r="3" spans="1:2" x14ac:dyDescent="0.25">
      <c r="A3" s="119" t="s">
        <v>171</v>
      </c>
      <c r="B3" s="120">
        <v>0</v>
      </c>
    </row>
    <row r="4" spans="1:2" x14ac:dyDescent="0.25">
      <c r="A4" s="119" t="s">
        <v>172</v>
      </c>
      <c r="B4" s="120">
        <v>0.08</v>
      </c>
    </row>
    <row r="5" spans="1:2" x14ac:dyDescent="0.25">
      <c r="A5" s="119" t="s">
        <v>173</v>
      </c>
      <c r="B5" s="120">
        <v>2.5000000000000001E-2</v>
      </c>
    </row>
    <row r="6" spans="1:2" x14ac:dyDescent="0.25">
      <c r="A6" s="119" t="s">
        <v>174</v>
      </c>
      <c r="B6" s="120">
        <v>1.4999999999999999E-2</v>
      </c>
    </row>
    <row r="7" spans="1:2" x14ac:dyDescent="0.25">
      <c r="A7" s="119" t="s">
        <v>175</v>
      </c>
      <c r="B7" s="120">
        <v>0.01</v>
      </c>
    </row>
    <row r="8" spans="1:2" x14ac:dyDescent="0.25">
      <c r="A8" s="119" t="s">
        <v>176</v>
      </c>
      <c r="B8" s="120">
        <v>6.0000000000000001E-3</v>
      </c>
    </row>
    <row r="9" spans="1:2" x14ac:dyDescent="0.25">
      <c r="A9" s="119" t="s">
        <v>177</v>
      </c>
      <c r="B9" s="120">
        <v>2E-3</v>
      </c>
    </row>
    <row r="10" spans="1:2" x14ac:dyDescent="0.25">
      <c r="A10" s="119" t="s">
        <v>178</v>
      </c>
      <c r="B10" s="120">
        <v>0.03</v>
      </c>
    </row>
    <row r="11" spans="1:2" x14ac:dyDescent="0.25">
      <c r="A11" s="119" t="s">
        <v>179</v>
      </c>
      <c r="B11" s="120">
        <v>0.01</v>
      </c>
    </row>
    <row r="12" spans="1:2" x14ac:dyDescent="0.25">
      <c r="A12" s="121" t="s">
        <v>180</v>
      </c>
      <c r="B12" s="122">
        <v>0.17799999999999999</v>
      </c>
    </row>
    <row r="13" spans="1:2" x14ac:dyDescent="0.25">
      <c r="A13" s="123"/>
      <c r="B13" s="123"/>
    </row>
    <row r="14" spans="1:2" x14ac:dyDescent="0.25">
      <c r="A14" s="197" t="s">
        <v>181</v>
      </c>
      <c r="B14" s="197"/>
    </row>
    <row r="15" spans="1:2" x14ac:dyDescent="0.25">
      <c r="A15" s="119" t="s">
        <v>182</v>
      </c>
      <c r="B15" s="120">
        <v>0.17749999999999999</v>
      </c>
    </row>
    <row r="16" spans="1:2" x14ac:dyDescent="0.25">
      <c r="A16" s="119" t="s">
        <v>183</v>
      </c>
      <c r="B16" s="120">
        <v>0.1479</v>
      </c>
    </row>
    <row r="17" spans="1:2" x14ac:dyDescent="0.25">
      <c r="A17" s="119" t="s">
        <v>184</v>
      </c>
      <c r="B17" s="120">
        <v>4.07E-2</v>
      </c>
    </row>
    <row r="18" spans="1:2" x14ac:dyDescent="0.25">
      <c r="A18" s="119" t="s">
        <v>185</v>
      </c>
      <c r="B18" s="120">
        <v>1.8499999999999999E-2</v>
      </c>
    </row>
    <row r="19" spans="1:2" x14ac:dyDescent="0.25">
      <c r="A19" s="119" t="s">
        <v>186</v>
      </c>
      <c r="B19" s="120">
        <v>1.2999999999999999E-3</v>
      </c>
    </row>
    <row r="20" spans="1:2" x14ac:dyDescent="0.25">
      <c r="A20" s="119" t="s">
        <v>187</v>
      </c>
      <c r="B20" s="120">
        <v>2.0000000000000001E-4</v>
      </c>
    </row>
    <row r="21" spans="1:2" x14ac:dyDescent="0.25">
      <c r="A21" s="119" t="s">
        <v>188</v>
      </c>
      <c r="B21" s="120">
        <v>0.1109</v>
      </c>
    </row>
    <row r="22" spans="1:2" x14ac:dyDescent="0.25">
      <c r="A22" s="119" t="s">
        <v>189</v>
      </c>
      <c r="B22" s="120">
        <v>4.1000000000000003E-3</v>
      </c>
    </row>
    <row r="23" spans="1:2" x14ac:dyDescent="0.25">
      <c r="A23" s="121" t="s">
        <v>190</v>
      </c>
      <c r="B23" s="122">
        <v>0.501</v>
      </c>
    </row>
    <row r="24" spans="1:2" x14ac:dyDescent="0.25">
      <c r="A24" s="119"/>
      <c r="B24" s="123"/>
    </row>
    <row r="25" spans="1:2" x14ac:dyDescent="0.25">
      <c r="A25" s="121" t="s">
        <v>191</v>
      </c>
      <c r="B25" s="122">
        <v>8.9200000000000002E-2</v>
      </c>
    </row>
    <row r="26" spans="1:2" x14ac:dyDescent="0.25">
      <c r="A26" s="123"/>
      <c r="B26" s="123"/>
    </row>
    <row r="27" spans="1:2" x14ac:dyDescent="0.25">
      <c r="A27" s="197" t="s">
        <v>192</v>
      </c>
      <c r="B27" s="197"/>
    </row>
    <row r="28" spans="1:2" ht="14.25" customHeight="1" x14ac:dyDescent="0.25">
      <c r="A28" s="123" t="s">
        <v>193</v>
      </c>
      <c r="B28" s="120">
        <v>0.18149999999999999</v>
      </c>
    </row>
    <row r="29" spans="1:2" ht="16.5" customHeight="1" x14ac:dyDescent="0.25">
      <c r="A29" s="123" t="s">
        <v>194</v>
      </c>
      <c r="B29" s="120">
        <v>5.0599999999999999E-2</v>
      </c>
    </row>
    <row r="30" spans="1:2" ht="15.75" customHeight="1" x14ac:dyDescent="0.25">
      <c r="A30" s="123" t="s">
        <v>195</v>
      </c>
      <c r="B30" s="120">
        <v>1.44E-2</v>
      </c>
    </row>
    <row r="31" spans="1:2" ht="28.5" customHeight="1" x14ac:dyDescent="0.25">
      <c r="A31" s="123" t="s">
        <v>196</v>
      </c>
      <c r="B31" s="120">
        <v>1.6E-2</v>
      </c>
    </row>
    <row r="32" spans="1:2" ht="16.5" customHeight="1" x14ac:dyDescent="0.25">
      <c r="A32" s="124" t="s">
        <v>197</v>
      </c>
      <c r="B32" s="122">
        <v>0.26240000000000002</v>
      </c>
    </row>
    <row r="33" spans="1:2" x14ac:dyDescent="0.25">
      <c r="A33" s="123"/>
      <c r="B33" s="123"/>
    </row>
    <row r="34" spans="1:2" x14ac:dyDescent="0.25">
      <c r="A34" s="197" t="s">
        <v>198</v>
      </c>
      <c r="B34" s="197"/>
    </row>
    <row r="35" spans="1:2" ht="15.75" customHeight="1" x14ac:dyDescent="0.25">
      <c r="A35" s="123" t="s">
        <v>199</v>
      </c>
      <c r="B35" s="120">
        <v>2.5999999999999999E-2</v>
      </c>
    </row>
    <row r="36" spans="1:2" ht="16.5" customHeight="1" x14ac:dyDescent="0.25">
      <c r="A36" s="123" t="s">
        <v>200</v>
      </c>
      <c r="B36" s="120">
        <v>8.9999999999999993E-3</v>
      </c>
    </row>
    <row r="37" spans="1:2" ht="17.25" customHeight="1" x14ac:dyDescent="0.25">
      <c r="A37" s="123" t="s">
        <v>201</v>
      </c>
      <c r="B37" s="120">
        <v>4.2799999999999998E-2</v>
      </c>
    </row>
    <row r="38" spans="1:2" ht="15.75" customHeight="1" x14ac:dyDescent="0.25">
      <c r="A38" s="123" t="s">
        <v>202</v>
      </c>
      <c r="B38" s="120">
        <v>0.25019999999999998</v>
      </c>
    </row>
    <row r="39" spans="1:2" ht="15.75" customHeight="1" x14ac:dyDescent="0.25">
      <c r="A39" s="123" t="s">
        <v>203</v>
      </c>
      <c r="B39" s="120">
        <v>6.0199999999999997E-2</v>
      </c>
    </row>
    <row r="40" spans="1:2" ht="16.5" customHeight="1" x14ac:dyDescent="0.25">
      <c r="A40" s="124" t="s">
        <v>204</v>
      </c>
      <c r="B40" s="122">
        <v>0.3881</v>
      </c>
    </row>
    <row r="41" spans="1:2" x14ac:dyDescent="0.25">
      <c r="A41" s="123"/>
      <c r="B41" s="123"/>
    </row>
    <row r="42" spans="1:2" x14ac:dyDescent="0.25">
      <c r="A42" s="125" t="s">
        <v>168</v>
      </c>
      <c r="B42" s="126">
        <v>1.4186999999999999</v>
      </c>
    </row>
  </sheetData>
  <mergeCells count="5">
    <mergeCell ref="A1:B1"/>
    <mergeCell ref="A2:B2"/>
    <mergeCell ref="A14:B14"/>
    <mergeCell ref="A27:B27"/>
    <mergeCell ref="A34:B3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L7" sqref="L7"/>
    </sheetView>
  </sheetViews>
  <sheetFormatPr defaultRowHeight="15" x14ac:dyDescent="0.25"/>
  <cols>
    <col min="1" max="1" width="4.140625" bestFit="1" customWidth="1"/>
    <col min="2" max="2" width="29.140625" bestFit="1" customWidth="1"/>
    <col min="3" max="3" width="7" bestFit="1" customWidth="1"/>
  </cols>
  <sheetData>
    <row r="1" spans="1:8" ht="15.75" thickBot="1" x14ac:dyDescent="0.3">
      <c r="A1" s="198" t="s">
        <v>105</v>
      </c>
      <c r="B1" s="199"/>
      <c r="C1" s="92"/>
      <c r="D1" s="200" t="s">
        <v>106</v>
      </c>
      <c r="E1" s="200"/>
      <c r="F1" s="200"/>
      <c r="G1" s="200"/>
      <c r="H1" s="201"/>
    </row>
    <row r="2" spans="1:8" x14ac:dyDescent="0.25">
      <c r="A2" s="93" t="s">
        <v>107</v>
      </c>
      <c r="B2" s="94" t="s">
        <v>108</v>
      </c>
      <c r="C2" s="95" t="s">
        <v>109</v>
      </c>
      <c r="D2" s="96"/>
      <c r="E2" s="97"/>
      <c r="F2" s="97"/>
      <c r="G2" s="97"/>
      <c r="H2" s="98"/>
    </row>
    <row r="3" spans="1:8" ht="15.75" customHeight="1" x14ac:dyDescent="0.25">
      <c r="A3" s="99" t="s">
        <v>110</v>
      </c>
      <c r="B3" s="100" t="s">
        <v>111</v>
      </c>
      <c r="C3" s="101">
        <v>0.04</v>
      </c>
      <c r="D3" s="102"/>
      <c r="E3" s="103"/>
      <c r="F3" s="103"/>
      <c r="G3" s="103"/>
      <c r="H3" s="104"/>
    </row>
    <row r="4" spans="1:8" x14ac:dyDescent="0.25">
      <c r="A4" s="99" t="s">
        <v>112</v>
      </c>
      <c r="B4" s="105" t="s">
        <v>113</v>
      </c>
      <c r="C4" s="101">
        <v>1.23E-2</v>
      </c>
      <c r="D4" s="102"/>
      <c r="E4" s="103"/>
      <c r="F4" s="103"/>
      <c r="G4" s="103"/>
      <c r="H4" s="104"/>
    </row>
    <row r="5" spans="1:8" x14ac:dyDescent="0.25">
      <c r="A5" s="99" t="s">
        <v>114</v>
      </c>
      <c r="B5" s="105" t="s">
        <v>115</v>
      </c>
      <c r="C5" s="101">
        <v>1.2699999999999999E-2</v>
      </c>
      <c r="D5" s="102"/>
      <c r="E5" s="103"/>
      <c r="F5" s="103"/>
      <c r="G5" s="103"/>
      <c r="H5" s="104"/>
    </row>
    <row r="6" spans="1:8" ht="16.5" customHeight="1" x14ac:dyDescent="0.25">
      <c r="A6" s="99" t="s">
        <v>116</v>
      </c>
      <c r="B6" s="100" t="s">
        <v>117</v>
      </c>
      <c r="C6" s="101">
        <v>8.0000000000000002E-3</v>
      </c>
      <c r="D6" s="102"/>
      <c r="E6" s="103"/>
      <c r="F6" s="103"/>
      <c r="G6" s="103"/>
      <c r="H6" s="104"/>
    </row>
    <row r="7" spans="1:8" x14ac:dyDescent="0.25">
      <c r="A7" s="93"/>
      <c r="B7" s="94" t="s">
        <v>118</v>
      </c>
      <c r="C7" s="95"/>
      <c r="D7" s="102"/>
      <c r="E7" s="103"/>
      <c r="F7" s="103"/>
      <c r="G7" s="103"/>
      <c r="H7" s="104"/>
    </row>
    <row r="8" spans="1:8" x14ac:dyDescent="0.25">
      <c r="A8" s="106" t="s">
        <v>107</v>
      </c>
      <c r="B8" s="107" t="s">
        <v>108</v>
      </c>
      <c r="C8" s="108" t="s">
        <v>109</v>
      </c>
      <c r="D8" s="102"/>
      <c r="E8" s="103"/>
      <c r="F8" s="103"/>
      <c r="G8" s="103"/>
      <c r="H8" s="104"/>
    </row>
    <row r="9" spans="1:8" x14ac:dyDescent="0.25">
      <c r="A9" s="99" t="s">
        <v>119</v>
      </c>
      <c r="B9" s="105" t="s">
        <v>120</v>
      </c>
      <c r="C9" s="101">
        <v>8.6499999999999994E-2</v>
      </c>
      <c r="D9" s="102"/>
      <c r="E9" s="103"/>
      <c r="F9" s="103"/>
      <c r="G9" s="103"/>
      <c r="H9" s="104"/>
    </row>
    <row r="10" spans="1:8" x14ac:dyDescent="0.25">
      <c r="A10" s="99"/>
      <c r="B10" s="105" t="s">
        <v>121</v>
      </c>
      <c r="C10" s="101">
        <v>0.03</v>
      </c>
      <c r="D10" s="102"/>
      <c r="E10" s="103"/>
      <c r="F10" s="103"/>
      <c r="G10" s="103"/>
      <c r="H10" s="104"/>
    </row>
    <row r="11" spans="1:8" x14ac:dyDescent="0.25">
      <c r="A11" s="99"/>
      <c r="B11" s="105" t="s">
        <v>122</v>
      </c>
      <c r="C11" s="101">
        <v>6.4999999999999997E-3</v>
      </c>
      <c r="D11" s="102"/>
      <c r="E11" s="103"/>
      <c r="F11" s="103"/>
      <c r="G11" s="103"/>
      <c r="H11" s="104"/>
    </row>
    <row r="12" spans="1:8" x14ac:dyDescent="0.25">
      <c r="A12" s="99"/>
      <c r="B12" s="105" t="s">
        <v>123</v>
      </c>
      <c r="C12" s="101">
        <v>0.05</v>
      </c>
      <c r="D12" s="102"/>
      <c r="E12" s="103"/>
      <c r="F12" s="103"/>
      <c r="G12" s="103"/>
      <c r="H12" s="104"/>
    </row>
    <row r="13" spans="1:8" ht="15.75" thickBot="1" x14ac:dyDescent="0.3">
      <c r="A13" s="109" t="s">
        <v>124</v>
      </c>
      <c r="B13" s="110" t="s">
        <v>125</v>
      </c>
      <c r="C13" s="111">
        <v>7.3999999999999996E-2</v>
      </c>
      <c r="D13" s="112"/>
      <c r="E13" s="113"/>
      <c r="F13" s="113"/>
      <c r="G13" s="113"/>
      <c r="H13" s="114"/>
    </row>
    <row r="14" spans="1:8" x14ac:dyDescent="0.25">
      <c r="A14" s="103"/>
      <c r="B14" s="103"/>
      <c r="C14" s="103"/>
      <c r="D14" s="103"/>
      <c r="E14" s="103"/>
      <c r="F14" s="103"/>
      <c r="G14" s="103"/>
      <c r="H14" s="103"/>
    </row>
    <row r="15" spans="1:8" x14ac:dyDescent="0.25">
      <c r="A15" s="103"/>
      <c r="B15" s="115" t="s">
        <v>126</v>
      </c>
      <c r="C15" s="116">
        <f>((((1+(C3+C6+C5))*(1+C4)*(1+C13))/(1-C9))-1)</f>
        <v>0.26240159730706081</v>
      </c>
      <c r="D15" s="103"/>
      <c r="E15" s="103"/>
      <c r="F15" s="103"/>
      <c r="G15" s="103"/>
      <c r="H15" s="103"/>
    </row>
    <row r="16" spans="1:8" x14ac:dyDescent="0.25">
      <c r="A16" s="117"/>
      <c r="B16" s="117"/>
      <c r="C16" s="117"/>
      <c r="D16" s="117"/>
      <c r="E16" s="117"/>
      <c r="F16" s="117"/>
      <c r="G16" s="117"/>
      <c r="H16" s="117"/>
    </row>
    <row r="17" spans="1:8" x14ac:dyDescent="0.25">
      <c r="A17" s="117"/>
      <c r="B17" s="202" t="s">
        <v>127</v>
      </c>
      <c r="C17" s="202"/>
      <c r="D17" s="202"/>
      <c r="E17" s="202"/>
      <c r="F17" s="202"/>
      <c r="G17" s="117"/>
      <c r="H17" s="117"/>
    </row>
    <row r="18" spans="1:8" x14ac:dyDescent="0.25">
      <c r="A18" s="118"/>
      <c r="B18" s="118"/>
      <c r="C18" s="118"/>
      <c r="D18" s="118"/>
      <c r="E18" s="118"/>
      <c r="F18" s="118"/>
      <c r="G18" s="118"/>
      <c r="H18" s="118"/>
    </row>
  </sheetData>
  <mergeCells count="3">
    <mergeCell ref="A1:B1"/>
    <mergeCell ref="D1:H1"/>
    <mergeCell ref="B17:F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ORÇAMENTO</vt:lpstr>
      <vt:lpstr>CFF</vt:lpstr>
      <vt:lpstr>MEMÓRIA DE CÁLCULO</vt:lpstr>
      <vt:lpstr>ENC. SOCIAIS</vt:lpstr>
      <vt:lpstr>BDI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 de Sousa Reis</dc:creator>
  <cp:lastModifiedBy>User</cp:lastModifiedBy>
  <cp:lastPrinted>2022-02-23T05:08:41Z</cp:lastPrinted>
  <dcterms:created xsi:type="dcterms:W3CDTF">2021-11-26T11:37:06Z</dcterms:created>
  <dcterms:modified xsi:type="dcterms:W3CDTF">2022-03-08T13:05:23Z</dcterms:modified>
</cp:coreProperties>
</file>